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landisk-hukuri\share-hukuri\4.共済経理・貸付班\共互貸付\02　全繰・一繰\一部繰上\一繰シミュレーター\2027年1月一繰\"/>
    </mc:Choice>
  </mc:AlternateContent>
  <xr:revisionPtr revIDLastSave="0" documentId="13_ncr:1_{CF383EBB-B7E7-4D6F-88EE-C9667B7C75CE}" xr6:coauthVersionLast="47" xr6:coauthVersionMax="47" xr10:uidLastSave="{00000000-0000-0000-0000-000000000000}"/>
  <workbookProtection workbookPassword="B7E8" lockStructure="1"/>
  <bookViews>
    <workbookView xWindow="2490" yWindow="3600" windowWidth="18480" windowHeight="11535" xr2:uid="{00000000-000D-0000-FFFF-FFFF00000000}"/>
  </bookViews>
  <sheets>
    <sheet name="入力フォーム" sheetId="7" r:id="rId1"/>
    <sheet name="一部繰上償還申出書（共済用）" sheetId="6" r:id="rId2"/>
    <sheet name="計算用" sheetId="1" state="hidden" r:id="rId3"/>
    <sheet name="賦金率表" sheetId="8" state="hidden" r:id="rId4"/>
  </sheets>
  <definedNames>
    <definedName name="_xlnm.Print_Area" localSheetId="1">'一部繰上償還申出書（共済用）'!$A$1:$AA$46</definedName>
    <definedName name="_xlnm.Print_Area" localSheetId="2">計算用!$A$1:$AD$54</definedName>
    <definedName name="_xlnm.Print_Area" localSheetId="0">入力フォーム!$A$1:$J$41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T17" i="6" l="1"/>
  <c r="D19" i="7"/>
  <c r="T34" i="6" s="1"/>
  <c r="B4" i="1"/>
  <c r="C6" i="1" s="1"/>
  <c r="B6" i="1"/>
  <c r="G18" i="6"/>
  <c r="D18" i="6"/>
  <c r="G16" i="6"/>
  <c r="D16" i="6"/>
  <c r="F3" i="7"/>
  <c r="B2" i="1" s="1"/>
  <c r="F5" i="7"/>
  <c r="B1" i="1" s="1"/>
  <c r="B12" i="1"/>
  <c r="B7" i="1"/>
  <c r="B8" i="1" s="1"/>
  <c r="B31" i="1"/>
  <c r="B29" i="1"/>
  <c r="B41" i="1" s="1"/>
  <c r="D38" i="1"/>
  <c r="B5" i="1"/>
  <c r="B27" i="1"/>
  <c r="N2" i="8"/>
  <c r="E2" i="8"/>
  <c r="D41" i="1"/>
  <c r="D2" i="8"/>
  <c r="C10" i="8"/>
  <c r="T19" i="6"/>
  <c r="Q19" i="6"/>
  <c r="Q17" i="6"/>
  <c r="B30" i="1"/>
  <c r="B34" i="1"/>
  <c r="E31" i="7" s="1"/>
  <c r="B32" i="1"/>
  <c r="B22" i="1"/>
  <c r="B21" i="1"/>
  <c r="B20" i="1"/>
  <c r="B19" i="1"/>
  <c r="B18" i="1"/>
  <c r="B17" i="1"/>
  <c r="B16" i="1"/>
  <c r="B15" i="1"/>
  <c r="B14" i="1"/>
  <c r="X33" i="6"/>
  <c r="X32" i="6"/>
  <c r="X31" i="6"/>
  <c r="X30" i="6"/>
  <c r="X29" i="6"/>
  <c r="X28" i="6"/>
  <c r="X27" i="6"/>
  <c r="X26" i="6"/>
  <c r="F33" i="6"/>
  <c r="B9" i="1"/>
  <c r="B10" i="1" s="1"/>
  <c r="D21" i="7" s="1"/>
  <c r="F27" i="6" s="1"/>
  <c r="C14" i="1"/>
  <c r="C15" i="1"/>
  <c r="C16" i="1"/>
  <c r="C17" i="1"/>
  <c r="C18" i="1"/>
  <c r="C19" i="1"/>
  <c r="C20" i="1"/>
  <c r="C21" i="1"/>
  <c r="C22" i="1"/>
  <c r="E19" i="7"/>
  <c r="X34" i="6"/>
  <c r="X25" i="6"/>
  <c r="T26" i="6"/>
  <c r="T27" i="6"/>
  <c r="T28" i="6"/>
  <c r="T29" i="6"/>
  <c r="T30" i="6"/>
  <c r="T31" i="6"/>
  <c r="T32" i="6"/>
  <c r="T33" i="6"/>
  <c r="T25" i="6"/>
  <c r="F24" i="6"/>
  <c r="S19" i="6"/>
  <c r="S17" i="6"/>
  <c r="R17" i="6"/>
  <c r="P19" i="6"/>
  <c r="O19" i="6"/>
  <c r="N19" i="6"/>
  <c r="M19" i="6"/>
  <c r="L19" i="6"/>
  <c r="K19" i="6"/>
  <c r="P17" i="6"/>
  <c r="O17" i="6"/>
  <c r="N17" i="6"/>
  <c r="M17" i="6"/>
  <c r="L17" i="6"/>
  <c r="K17" i="6"/>
  <c r="J17" i="6"/>
  <c r="F4" i="7"/>
  <c r="M12" i="6" s="1"/>
  <c r="Q12" i="6"/>
  <c r="F1" i="7"/>
  <c r="K9" i="6" s="1"/>
  <c r="F2" i="7"/>
  <c r="Q9" i="6" s="1"/>
  <c r="G2" i="8"/>
  <c r="E337" i="8"/>
  <c r="E111" i="8"/>
  <c r="F64" i="8"/>
  <c r="E43" i="8"/>
  <c r="G21" i="8"/>
  <c r="G15" i="8"/>
  <c r="E312" i="8"/>
  <c r="E270" i="8"/>
  <c r="E260" i="8"/>
  <c r="E180" i="8"/>
  <c r="E148" i="8"/>
  <c r="E134" i="8"/>
  <c r="E116" i="8"/>
  <c r="E110" i="8"/>
  <c r="E64" i="8"/>
  <c r="G60" i="8"/>
  <c r="E26" i="8"/>
  <c r="G20" i="8"/>
  <c r="G18" i="8"/>
  <c r="E12" i="8"/>
  <c r="E10" i="8"/>
  <c r="K2" i="8"/>
  <c r="M2" i="8"/>
  <c r="K299" i="8" s="1"/>
  <c r="K272" i="8"/>
  <c r="D39" i="1"/>
  <c r="J2" i="8"/>
  <c r="C9" i="8"/>
  <c r="D32" i="8"/>
  <c r="D54" i="8"/>
  <c r="B47" i="8"/>
  <c r="B131" i="8"/>
  <c r="B151" i="8"/>
  <c r="B215" i="8"/>
  <c r="B279" i="8"/>
  <c r="C32" i="8"/>
  <c r="D45" i="8"/>
  <c r="B29" i="8"/>
  <c r="B66" i="8"/>
  <c r="B141" i="8"/>
  <c r="B178" i="8"/>
  <c r="B221" i="8"/>
  <c r="B258" i="8"/>
  <c r="B312" i="8"/>
  <c r="B333" i="8"/>
  <c r="B361" i="8"/>
  <c r="C26" i="8"/>
  <c r="C62" i="8"/>
  <c r="B26" i="8"/>
  <c r="B76" i="8"/>
  <c r="B133" i="8"/>
  <c r="B212" i="8"/>
  <c r="B225" i="8"/>
  <c r="C18" i="8"/>
  <c r="C36" i="8"/>
  <c r="D5" i="8"/>
  <c r="B25" i="8"/>
  <c r="B60" i="8"/>
  <c r="B96" i="8"/>
  <c r="B153" i="8"/>
  <c r="B174" i="8"/>
  <c r="B209" i="8"/>
  <c r="B252" i="8"/>
  <c r="B309" i="8"/>
  <c r="B324" i="8"/>
  <c r="B358" i="8"/>
  <c r="D8" i="8"/>
  <c r="C53" i="8"/>
  <c r="B9" i="8"/>
  <c r="B52" i="8"/>
  <c r="B94" i="8"/>
  <c r="B150" i="8"/>
  <c r="B165" i="8"/>
  <c r="B208" i="8"/>
  <c r="B250" i="8"/>
  <c r="B293" i="8"/>
  <c r="B304" i="8"/>
  <c r="B332" i="8"/>
  <c r="B346" i="8"/>
  <c r="C17" i="8"/>
  <c r="C31" i="8"/>
  <c r="C45" i="8"/>
  <c r="B6" i="8"/>
  <c r="B64" i="8"/>
  <c r="B78" i="8"/>
  <c r="B121" i="8"/>
  <c r="B164" i="8"/>
  <c r="B220" i="8"/>
  <c r="B234" i="8"/>
  <c r="B272" i="8"/>
  <c r="B292" i="8"/>
  <c r="B329" i="8"/>
  <c r="B344" i="8"/>
  <c r="B359" i="8"/>
  <c r="B343" i="8"/>
  <c r="B270" i="8"/>
  <c r="B214" i="8"/>
  <c r="B158" i="8"/>
  <c r="B73" i="8"/>
  <c r="C42" i="8"/>
  <c r="C28" i="8"/>
  <c r="J23" i="8"/>
  <c r="D42" i="1"/>
  <c r="K230" i="8"/>
  <c r="C21" i="8"/>
  <c r="B286" i="8"/>
  <c r="C8" i="8"/>
  <c r="D30" i="8"/>
  <c r="D50" i="8"/>
  <c r="B19" i="8"/>
  <c r="B39" i="8"/>
  <c r="B103" i="8"/>
  <c r="B147" i="8"/>
  <c r="B191" i="8"/>
  <c r="B211" i="8"/>
  <c r="B275" i="8"/>
  <c r="B319" i="8"/>
  <c r="C27" i="8"/>
  <c r="C43" i="8"/>
  <c r="B45" i="8"/>
  <c r="B98" i="8"/>
  <c r="B157" i="8"/>
  <c r="B184" i="8"/>
  <c r="B242" i="8"/>
  <c r="B301" i="8"/>
  <c r="B328" i="8"/>
  <c r="B349" i="8"/>
  <c r="C30" i="8"/>
  <c r="B12" i="8"/>
  <c r="B48" i="8"/>
  <c r="B84" i="8"/>
  <c r="B161" i="8"/>
  <c r="B240" i="8"/>
  <c r="C15" i="8"/>
  <c r="C29" i="8"/>
  <c r="D57" i="8"/>
  <c r="B46" i="8"/>
  <c r="B74" i="8"/>
  <c r="B102" i="8"/>
  <c r="B160" i="8"/>
  <c r="B217" i="8"/>
  <c r="B245" i="8"/>
  <c r="B273" i="8"/>
  <c r="B330" i="8"/>
  <c r="D17" i="8"/>
  <c r="C46" i="8"/>
  <c r="B22" i="8"/>
  <c r="B228" i="8"/>
  <c r="C12" i="8"/>
  <c r="D14" i="8"/>
  <c r="D24" i="8"/>
  <c r="D46" i="8"/>
  <c r="B7" i="8"/>
  <c r="B31" i="8"/>
  <c r="B51" i="8"/>
  <c r="B95" i="8"/>
  <c r="B135" i="8"/>
  <c r="B159" i="8"/>
  <c r="B179" i="8"/>
  <c r="B223" i="8"/>
  <c r="B263" i="8"/>
  <c r="B287" i="8"/>
  <c r="B307" i="8"/>
  <c r="D21" i="8"/>
  <c r="C48" i="8"/>
  <c r="D13" i="8"/>
  <c r="B16" i="8"/>
  <c r="B244" i="8"/>
  <c r="B338" i="8"/>
  <c r="B300" i="8"/>
  <c r="B262" i="8"/>
  <c r="B149" i="8"/>
  <c r="B36" i="8"/>
  <c r="C52" i="8"/>
  <c r="D23" i="8"/>
  <c r="B321" i="8"/>
  <c r="B236" i="8"/>
  <c r="B180" i="8"/>
  <c r="B122" i="8"/>
  <c r="C60" i="8"/>
  <c r="B347" i="8"/>
  <c r="B316" i="8"/>
  <c r="B281" i="8"/>
  <c r="B202" i="8"/>
  <c r="B124" i="8"/>
  <c r="B89" i="8"/>
  <c r="B53" i="8"/>
  <c r="C50" i="8"/>
  <c r="D10" i="8"/>
  <c r="B218" i="8"/>
  <c r="B169" i="8"/>
  <c r="B69" i="8"/>
  <c r="C44" i="8"/>
  <c r="D19" i="8"/>
  <c r="B357" i="8"/>
  <c r="B285" i="8"/>
  <c r="B205" i="8"/>
  <c r="B173" i="8"/>
  <c r="B136" i="8"/>
  <c r="B56" i="8"/>
  <c r="D53" i="8"/>
  <c r="C24" i="8"/>
  <c r="B311" i="8"/>
  <c r="B227" i="8"/>
  <c r="B143" i="8"/>
  <c r="B99" i="8"/>
  <c r="B55" i="8"/>
  <c r="D48" i="8"/>
  <c r="E38" i="1"/>
  <c r="B144" i="8"/>
  <c r="B336" i="8"/>
  <c r="B260" i="8"/>
  <c r="B181" i="8"/>
  <c r="B145" i="8"/>
  <c r="B110" i="8"/>
  <c r="B32" i="8"/>
  <c r="D39" i="8"/>
  <c r="C22" i="8"/>
  <c r="B246" i="8"/>
  <c r="B140" i="8"/>
  <c r="B41" i="8"/>
  <c r="C58" i="8"/>
  <c r="D33" i="8"/>
  <c r="B341" i="8"/>
  <c r="B264" i="8"/>
  <c r="B226" i="8"/>
  <c r="B194" i="8"/>
  <c r="B114" i="8"/>
  <c r="B34" i="8"/>
  <c r="C64" i="8"/>
  <c r="D37" i="8"/>
  <c r="B291" i="8"/>
  <c r="B207" i="8"/>
  <c r="B163" i="8"/>
  <c r="B119" i="8"/>
  <c r="B35" i="8"/>
  <c r="D38" i="8"/>
  <c r="D16" i="8"/>
  <c r="B335" i="8"/>
  <c r="F48" i="8"/>
  <c r="G61" i="8"/>
  <c r="E223" i="8"/>
  <c r="E255" i="8"/>
  <c r="E349" i="8"/>
  <c r="E283" i="8"/>
  <c r="E251" i="8"/>
  <c r="E235" i="8"/>
  <c r="E219" i="8"/>
  <c r="E139" i="8"/>
  <c r="E123" i="8"/>
  <c r="E107" i="8"/>
  <c r="E63" i="8"/>
  <c r="G57" i="8"/>
  <c r="F32" i="8"/>
  <c r="F28" i="8"/>
  <c r="F22" i="8"/>
  <c r="G19" i="8"/>
  <c r="E362" i="8"/>
  <c r="E354" i="8"/>
  <c r="E346" i="8"/>
  <c r="E338" i="8"/>
  <c r="E330" i="8"/>
  <c r="E322" i="8"/>
  <c r="E282" i="8"/>
  <c r="E274" i="8"/>
  <c r="E307" i="8"/>
  <c r="E291" i="8"/>
  <c r="E259" i="8"/>
  <c r="E243" i="8"/>
  <c r="E211" i="8"/>
  <c r="E195" i="8"/>
  <c r="E163" i="8"/>
  <c r="E147" i="8"/>
  <c r="E131" i="8"/>
  <c r="E115" i="8"/>
  <c r="D40" i="1"/>
  <c r="P2" i="8"/>
  <c r="N353" i="8"/>
  <c r="Q2" i="8"/>
  <c r="S2" i="8"/>
  <c r="K248" i="8"/>
  <c r="M22" i="8"/>
  <c r="K168" i="8"/>
  <c r="K116" i="8"/>
  <c r="L6" i="8"/>
  <c r="K315" i="8"/>
  <c r="K267" i="8"/>
  <c r="K251" i="8"/>
  <c r="K223" i="8"/>
  <c r="K207" i="8"/>
  <c r="K143" i="8"/>
  <c r="K127" i="8"/>
  <c r="K24" i="8"/>
  <c r="K8" i="8"/>
  <c r="K274" i="8"/>
  <c r="K246" i="8"/>
  <c r="L47" i="8"/>
  <c r="L15" i="8"/>
  <c r="K187" i="8"/>
  <c r="K155" i="8"/>
  <c r="K346" i="8"/>
  <c r="K310" i="8"/>
  <c r="K221" i="8"/>
  <c r="K29" i="8"/>
  <c r="K326" i="8"/>
  <c r="K298" i="8"/>
  <c r="L12" i="8"/>
  <c r="K92" i="8"/>
  <c r="K76" i="8"/>
  <c r="K13" i="8"/>
  <c r="M28" i="8"/>
  <c r="K204" i="8"/>
  <c r="M63" i="8"/>
  <c r="K301" i="8"/>
  <c r="K37" i="8"/>
  <c r="M58" i="8"/>
  <c r="K166" i="8"/>
  <c r="L44" i="8"/>
  <c r="K254" i="8"/>
  <c r="K36" i="8"/>
  <c r="K62" i="8"/>
  <c r="K99" i="8"/>
  <c r="K179" i="8"/>
  <c r="K295" i="8"/>
  <c r="K314" i="8"/>
  <c r="K21" i="8"/>
  <c r="L45" i="8"/>
  <c r="K5" i="8"/>
  <c r="K94" i="8"/>
  <c r="K137" i="8"/>
  <c r="K260" i="8"/>
  <c r="K302" i="8"/>
  <c r="K10" i="8"/>
  <c r="K26" i="8"/>
  <c r="K147" i="8"/>
  <c r="K195" i="8"/>
  <c r="K31" i="8"/>
  <c r="M47" i="8"/>
  <c r="K145" i="8"/>
  <c r="K180" i="8"/>
  <c r="K277" i="8"/>
  <c r="K312" i="8"/>
  <c r="K42" i="8"/>
  <c r="K58" i="8"/>
  <c r="K115" i="8"/>
  <c r="K163" i="8"/>
  <c r="K311" i="8"/>
  <c r="K359" i="8"/>
  <c r="B314" i="8"/>
  <c r="B185" i="8"/>
  <c r="D27" i="8"/>
  <c r="C49" i="8"/>
  <c r="D63" i="8"/>
  <c r="B42" i="8"/>
  <c r="B85" i="8"/>
  <c r="B116" i="8"/>
  <c r="B156" i="8"/>
  <c r="B198" i="8"/>
  <c r="B229" i="8"/>
  <c r="B268" i="8"/>
  <c r="B297" i="8"/>
  <c r="B318" i="8"/>
  <c r="B340" i="8"/>
  <c r="B362" i="8"/>
  <c r="C20" i="8"/>
  <c r="D35" i="8"/>
  <c r="D55" i="8"/>
  <c r="B28" i="8"/>
  <c r="B58" i="8"/>
  <c r="B100" i="8"/>
  <c r="B142" i="8"/>
  <c r="B172" i="8"/>
  <c r="B213" i="8"/>
  <c r="B256" i="8"/>
  <c r="B278" i="8"/>
  <c r="B305" i="8"/>
  <c r="B334" i="8"/>
  <c r="B350" i="8"/>
  <c r="C34" i="8"/>
  <c r="B14" i="8"/>
  <c r="B86" i="8"/>
  <c r="B170" i="8"/>
  <c r="B241" i="8"/>
  <c r="B298" i="8"/>
  <c r="B348" i="8"/>
  <c r="D12" i="8"/>
  <c r="D49" i="8"/>
  <c r="B57" i="8"/>
  <c r="B128" i="8"/>
  <c r="B201" i="8"/>
  <c r="B277" i="8"/>
  <c r="B325" i="8"/>
  <c r="B364" i="8"/>
  <c r="C6" i="8"/>
  <c r="C14" i="8"/>
  <c r="D11" i="8"/>
  <c r="D20" i="8"/>
  <c r="D28" i="8"/>
  <c r="D36" i="8"/>
  <c r="D44" i="8"/>
  <c r="D52" i="8"/>
  <c r="D60" i="8"/>
  <c r="B11" i="8"/>
  <c r="B27" i="8"/>
  <c r="B43" i="8"/>
  <c r="B59" i="8"/>
  <c r="B75" i="8"/>
  <c r="B91" i="8"/>
  <c r="B107" i="8"/>
  <c r="B123" i="8"/>
  <c r="B139" i="8"/>
  <c r="B155" i="8"/>
  <c r="B171" i="8"/>
  <c r="B187" i="8"/>
  <c r="B203" i="8"/>
  <c r="B219" i="8"/>
  <c r="B235" i="8"/>
  <c r="B251" i="8"/>
  <c r="B267" i="8"/>
  <c r="B283" i="8"/>
  <c r="B299" i="8"/>
  <c r="B315" i="8"/>
  <c r="B331" i="8"/>
  <c r="C19" i="8"/>
  <c r="D29" i="8"/>
  <c r="C40" i="8"/>
  <c r="C51" i="8"/>
  <c r="D61" i="8"/>
  <c r="B18" i="8"/>
  <c r="B40" i="8"/>
  <c r="B61" i="8"/>
  <c r="B82" i="8"/>
  <c r="B104" i="8"/>
  <c r="B125" i="8"/>
  <c r="B146" i="8"/>
  <c r="B168" i="8"/>
  <c r="B189" i="8"/>
  <c r="B210" i="8"/>
  <c r="B232" i="8"/>
  <c r="B253" i="8"/>
  <c r="B274" i="8"/>
  <c r="B296" i="8"/>
  <c r="B317" i="8"/>
  <c r="B337" i="8"/>
  <c r="B353" i="8"/>
  <c r="C7" i="8"/>
  <c r="C23" i="8"/>
  <c r="C37" i="8"/>
  <c r="D51" i="8"/>
  <c r="C5" i="8"/>
  <c r="B33" i="8"/>
  <c r="B62" i="8"/>
  <c r="B90" i="8"/>
  <c r="B118" i="8"/>
  <c r="B148" i="8"/>
  <c r="B176" i="8"/>
  <c r="B204" i="8"/>
  <c r="B233" i="8"/>
  <c r="B261" i="8"/>
  <c r="E359" i="8"/>
  <c r="E351" i="8"/>
  <c r="E343" i="8"/>
  <c r="E335" i="8"/>
  <c r="E327" i="8"/>
  <c r="E301" i="8"/>
  <c r="E293" i="8"/>
  <c r="E285" i="8"/>
  <c r="E253" i="8"/>
  <c r="E197" i="8"/>
  <c r="E189" i="8"/>
  <c r="E181" i="8"/>
  <c r="E173" i="8"/>
  <c r="E165" i="8"/>
  <c r="E157" i="8"/>
  <c r="E141" i="8"/>
  <c r="E133" i="8"/>
  <c r="E125" i="8"/>
  <c r="E117" i="8"/>
  <c r="E101" i="8"/>
  <c r="E93" i="8"/>
  <c r="E61" i="8"/>
  <c r="F50" i="8"/>
  <c r="G47" i="8"/>
  <c r="F42" i="8"/>
  <c r="E37" i="8"/>
  <c r="F34" i="8"/>
  <c r="G31" i="8"/>
  <c r="F26" i="8"/>
  <c r="E363" i="8"/>
  <c r="E355" i="8"/>
  <c r="E315" i="8"/>
  <c r="E305" i="8"/>
  <c r="E289" i="8"/>
  <c r="E281" i="8"/>
  <c r="E273" i="8"/>
  <c r="E233" i="8"/>
  <c r="E225" i="8"/>
  <c r="E209" i="8"/>
  <c r="E201" i="8"/>
  <c r="E193" i="8"/>
  <c r="E153" i="8"/>
  <c r="E145" i="8"/>
  <c r="E137" i="8"/>
  <c r="E129" i="8"/>
  <c r="E121" i="8"/>
  <c r="E113" i="8"/>
  <c r="E81" i="8"/>
  <c r="E73" i="8"/>
  <c r="E65" i="8"/>
  <c r="F54" i="8"/>
  <c r="E49" i="8"/>
  <c r="F38" i="8"/>
  <c r="G35" i="8"/>
  <c r="E40" i="1"/>
  <c r="N359" i="8"/>
  <c r="N236" i="8"/>
  <c r="N360" i="8"/>
  <c r="N350" i="8"/>
  <c r="N339" i="8"/>
  <c r="N334" i="8"/>
  <c r="N328" i="8"/>
  <c r="N323" i="8"/>
  <c r="N318" i="8"/>
  <c r="N312" i="8"/>
  <c r="N357" i="8"/>
  <c r="N358" i="8"/>
  <c r="N338" i="8"/>
  <c r="N332" i="8"/>
  <c r="N327" i="8"/>
  <c r="N322" i="8"/>
  <c r="N316" i="8"/>
  <c r="N311" i="8"/>
  <c r="N306" i="8"/>
  <c r="N300" i="8"/>
  <c r="N290" i="8"/>
  <c r="N284" i="8"/>
  <c r="N279" i="8"/>
  <c r="N274" i="8"/>
  <c r="N268" i="8"/>
  <c r="N263" i="8"/>
  <c r="N258" i="8"/>
  <c r="N250" i="8"/>
  <c r="N235" i="8"/>
  <c r="N227" i="8"/>
  <c r="N219" i="8"/>
  <c r="N211" i="8"/>
  <c r="N203" i="8"/>
  <c r="N195" i="8"/>
  <c r="N187" i="8"/>
  <c r="N179" i="8"/>
  <c r="N163" i="8"/>
  <c r="N155" i="8"/>
  <c r="N218" i="8"/>
  <c r="N202" i="8"/>
  <c r="N186" i="8"/>
  <c r="N170" i="8"/>
  <c r="N153" i="8"/>
  <c r="N137" i="8"/>
  <c r="N113" i="8"/>
  <c r="N105" i="8"/>
  <c r="N97" i="8"/>
  <c r="N89" i="8"/>
  <c r="N81" i="8"/>
  <c r="N73" i="8"/>
  <c r="N65" i="8"/>
  <c r="O62" i="8"/>
  <c r="N57" i="8"/>
  <c r="O54" i="8"/>
  <c r="P51" i="8"/>
  <c r="N49" i="8"/>
  <c r="O46" i="8"/>
  <c r="P43" i="8"/>
  <c r="N41" i="8"/>
  <c r="P35" i="8"/>
  <c r="P27" i="8"/>
  <c r="N25" i="8"/>
  <c r="O22" i="8"/>
  <c r="N216" i="8"/>
  <c r="N200" i="8"/>
  <c r="N184" i="8"/>
  <c r="N168" i="8"/>
  <c r="N154" i="8"/>
  <c r="N138" i="8"/>
  <c r="N130" i="8"/>
  <c r="N122" i="8"/>
  <c r="N114" i="8"/>
  <c r="N106" i="8"/>
  <c r="N98" i="8"/>
  <c r="N90" i="8"/>
  <c r="N74" i="8"/>
  <c r="N346" i="8"/>
  <c r="N335" i="8"/>
  <c r="N324" i="8"/>
  <c r="N314" i="8"/>
  <c r="N304" i="8"/>
  <c r="N298" i="8"/>
  <c r="N291" i="8"/>
  <c r="N283" i="8"/>
  <c r="N270" i="8"/>
  <c r="N262" i="8"/>
  <c r="N256" i="8"/>
  <c r="N251" i="8"/>
  <c r="N245" i="8"/>
  <c r="N239" i="8"/>
  <c r="N229" i="8"/>
  <c r="N207" i="8"/>
  <c r="N175" i="8"/>
  <c r="N165" i="8"/>
  <c r="N230" i="8"/>
  <c r="N210" i="8"/>
  <c r="N190" i="8"/>
  <c r="N166" i="8"/>
  <c r="N149" i="8"/>
  <c r="N139" i="8"/>
  <c r="N117" i="8"/>
  <c r="N107" i="8"/>
  <c r="N95" i="8"/>
  <c r="N85" i="8"/>
  <c r="N75" i="8"/>
  <c r="O64" i="8"/>
  <c r="N61" i="8"/>
  <c r="P53" i="8"/>
  <c r="N43" i="8"/>
  <c r="P39" i="8"/>
  <c r="O36" i="8"/>
  <c r="O32" i="8"/>
  <c r="N29" i="8"/>
  <c r="P25" i="8"/>
  <c r="N228" i="8"/>
  <c r="N208" i="8"/>
  <c r="N164" i="8"/>
  <c r="N150" i="8"/>
  <c r="N140" i="8"/>
  <c r="N128" i="8"/>
  <c r="N118" i="8"/>
  <c r="N108" i="8"/>
  <c r="N96" i="8"/>
  <c r="N76" i="8"/>
  <c r="N60" i="8"/>
  <c r="O57" i="8"/>
  <c r="P54" i="8"/>
  <c r="N52" i="8"/>
  <c r="O49" i="8"/>
  <c r="P46" i="8"/>
  <c r="N44" i="8"/>
  <c r="O41" i="8"/>
  <c r="N36" i="8"/>
  <c r="O33" i="8"/>
  <c r="P30" i="8"/>
  <c r="N28" i="8"/>
  <c r="O25" i="8"/>
  <c r="P22" i="8"/>
  <c r="N20" i="8"/>
  <c r="P14" i="8"/>
  <c r="P6" i="8"/>
  <c r="N21" i="8"/>
  <c r="O18" i="8"/>
  <c r="N351" i="8"/>
  <c r="N352" i="8"/>
  <c r="N336" i="8"/>
  <c r="N320" i="8"/>
  <c r="N308" i="8"/>
  <c r="N288" i="8"/>
  <c r="N280" i="8"/>
  <c r="N271" i="8"/>
  <c r="N260" i="8"/>
  <c r="N253" i="8"/>
  <c r="N247" i="8"/>
  <c r="N237" i="8"/>
  <c r="N209" i="8"/>
  <c r="N167" i="8"/>
  <c r="N226" i="8"/>
  <c r="N198" i="8"/>
  <c r="N174" i="8"/>
  <c r="N147" i="8"/>
  <c r="N133" i="8"/>
  <c r="N119" i="8"/>
  <c r="N103" i="8"/>
  <c r="N77" i="8"/>
  <c r="P63" i="8"/>
  <c r="N59" i="8"/>
  <c r="N55" i="8"/>
  <c r="P49" i="8"/>
  <c r="N45" i="8"/>
  <c r="O40" i="8"/>
  <c r="N31" i="8"/>
  <c r="N196" i="8"/>
  <c r="N172" i="8"/>
  <c r="N148" i="8"/>
  <c r="N134" i="8"/>
  <c r="N120" i="8"/>
  <c r="N104" i="8"/>
  <c r="N92" i="8"/>
  <c r="N78" i="8"/>
  <c r="O61" i="8"/>
  <c r="N58" i="8"/>
  <c r="N54" i="8"/>
  <c r="P50" i="8"/>
  <c r="O47" i="8"/>
  <c r="O43" i="8"/>
  <c r="N40" i="8"/>
  <c r="P32" i="8"/>
  <c r="N22" i="8"/>
  <c r="P18" i="8"/>
  <c r="O15" i="8"/>
  <c r="O11" i="8"/>
  <c r="N8" i="8"/>
  <c r="P21" i="8"/>
  <c r="P17" i="8"/>
  <c r="N15" i="8"/>
  <c r="P9" i="8"/>
  <c r="N7" i="8"/>
  <c r="N232" i="8"/>
  <c r="N342" i="8"/>
  <c r="N330" i="8"/>
  <c r="N315" i="8"/>
  <c r="N303" i="8"/>
  <c r="N286" i="8"/>
  <c r="N257" i="8"/>
  <c r="N249" i="8"/>
  <c r="N243" i="8"/>
  <c r="N231" i="8"/>
  <c r="N215" i="8"/>
  <c r="N201" i="8"/>
  <c r="N189" i="8"/>
  <c r="N173" i="8"/>
  <c r="N214" i="8"/>
  <c r="N182" i="8"/>
  <c r="N158" i="8"/>
  <c r="N141" i="8"/>
  <c r="N125" i="8"/>
  <c r="N111" i="8"/>
  <c r="N99" i="8"/>
  <c r="N69" i="8"/>
  <c r="O52" i="8"/>
  <c r="P47" i="8"/>
  <c r="O42" i="8"/>
  <c r="P37" i="8"/>
  <c r="P33" i="8"/>
  <c r="O28" i="8"/>
  <c r="P23" i="8"/>
  <c r="N212" i="8"/>
  <c r="N156" i="8"/>
  <c r="N142" i="8"/>
  <c r="N126" i="8"/>
  <c r="N112" i="8"/>
  <c r="N100" i="8"/>
  <c r="N84" i="8"/>
  <c r="N70" i="8"/>
  <c r="O59" i="8"/>
  <c r="P48" i="8"/>
  <c r="O45" i="8"/>
  <c r="N42" i="8"/>
  <c r="N38" i="8"/>
  <c r="P34" i="8"/>
  <c r="O31" i="8"/>
  <c r="O27" i="8"/>
  <c r="N24" i="8"/>
  <c r="P16" i="8"/>
  <c r="O13" i="8"/>
  <c r="N10" i="8"/>
  <c r="N6" i="8"/>
  <c r="P19" i="8"/>
  <c r="O16" i="8"/>
  <c r="P13" i="8"/>
  <c r="O8" i="8"/>
  <c r="N326" i="8"/>
  <c r="N302" i="8"/>
  <c r="N282" i="8"/>
  <c r="N264" i="8"/>
  <c r="N248" i="8"/>
  <c r="N225" i="8"/>
  <c r="N199" i="8"/>
  <c r="N169" i="8"/>
  <c r="N151" i="8"/>
  <c r="N123" i="8"/>
  <c r="N93" i="8"/>
  <c r="N67" i="8"/>
  <c r="P55" i="8"/>
  <c r="P45" i="8"/>
  <c r="N37" i="8"/>
  <c r="N204" i="8"/>
  <c r="N94" i="8"/>
  <c r="N68" i="8"/>
  <c r="P58" i="8"/>
  <c r="O51" i="8"/>
  <c r="P44" i="8"/>
  <c r="O37" i="8"/>
  <c r="N30" i="8"/>
  <c r="O23" i="8"/>
  <c r="P8" i="8"/>
  <c r="N19" i="8"/>
  <c r="N13" i="8"/>
  <c r="P7" i="8"/>
  <c r="N363" i="8"/>
  <c r="N356" i="8"/>
  <c r="N337" i="8"/>
  <c r="N305" i="8"/>
  <c r="N289" i="8"/>
  <c r="N347" i="8"/>
  <c r="N319" i="8"/>
  <c r="N296" i="8"/>
  <c r="N278" i="8"/>
  <c r="N259" i="8"/>
  <c r="N244" i="8"/>
  <c r="N221" i="8"/>
  <c r="N191" i="8"/>
  <c r="N194" i="8"/>
  <c r="N143" i="8"/>
  <c r="N115" i="8"/>
  <c r="N87" i="8"/>
  <c r="N63" i="8"/>
  <c r="N53" i="8"/>
  <c r="O44" i="8"/>
  <c r="O24" i="8"/>
  <c r="N192" i="8"/>
  <c r="N116" i="8"/>
  <c r="N88" i="8"/>
  <c r="N64" i="8"/>
  <c r="P56" i="8"/>
  <c r="N50" i="8"/>
  <c r="P42" i="8"/>
  <c r="O35" i="8"/>
  <c r="P28" i="8"/>
  <c r="N14" i="8"/>
  <c r="O7" i="8"/>
  <c r="N17" i="8"/>
  <c r="P11" i="8"/>
  <c r="O6" i="8"/>
  <c r="N355" i="8"/>
  <c r="N349" i="8"/>
  <c r="N301" i="8"/>
  <c r="N285" i="8"/>
  <c r="N340" i="8"/>
  <c r="N310" i="8"/>
  <c r="N292" i="8"/>
  <c r="N272" i="8"/>
  <c r="N255" i="8"/>
  <c r="N241" i="8"/>
  <c r="N213" i="8"/>
  <c r="N183" i="8"/>
  <c r="N178" i="8"/>
  <c r="N135" i="8"/>
  <c r="N109" i="8"/>
  <c r="N79" i="8"/>
  <c r="O60" i="8"/>
  <c r="N51" i="8"/>
  <c r="P41" i="8"/>
  <c r="N23" i="8"/>
  <c r="N176" i="8"/>
  <c r="N110" i="8"/>
  <c r="N80" i="8"/>
  <c r="N62" i="8"/>
  <c r="O55" i="8"/>
  <c r="N48" i="8"/>
  <c r="P40" i="8"/>
  <c r="N34" i="8"/>
  <c r="P26" i="8"/>
  <c r="P12" i="8"/>
  <c r="O5" i="8"/>
  <c r="P15" i="8"/>
  <c r="O10" i="8"/>
  <c r="N5" i="8"/>
  <c r="N238" i="8"/>
  <c r="N345" i="8"/>
  <c r="N313" i="8"/>
  <c r="N297" i="8"/>
  <c r="N265" i="8"/>
  <c r="N240" i="8"/>
  <c r="N331" i="8"/>
  <c r="N307" i="8"/>
  <c r="N287" i="8"/>
  <c r="N267" i="8"/>
  <c r="N252" i="8"/>
  <c r="N233" i="8"/>
  <c r="N177" i="8"/>
  <c r="N222" i="8"/>
  <c r="N162" i="8"/>
  <c r="N131" i="8"/>
  <c r="N101" i="8"/>
  <c r="N71" i="8"/>
  <c r="O58" i="8"/>
  <c r="N39" i="8"/>
  <c r="P29" i="8"/>
  <c r="N160" i="8"/>
  <c r="N132" i="8"/>
  <c r="N102" i="8"/>
  <c r="N72" i="8"/>
  <c r="P60" i="8"/>
  <c r="O53" i="8"/>
  <c r="N46" i="8"/>
  <c r="O39" i="8"/>
  <c r="P24" i="8"/>
  <c r="N18" i="8"/>
  <c r="P10" i="8"/>
  <c r="O20" i="8"/>
  <c r="O14" i="8"/>
  <c r="N9" i="8"/>
  <c r="N364" i="8"/>
  <c r="N325" i="8"/>
  <c r="N309" i="8"/>
  <c r="N277" i="8"/>
  <c r="N261" i="8"/>
  <c r="N333" i="8"/>
  <c r="S5" i="8"/>
  <c r="Q240" i="8"/>
  <c r="Q288" i="8"/>
  <c r="Q60" i="8"/>
  <c r="Q98" i="8"/>
  <c r="Q37" i="8"/>
  <c r="Q161" i="8"/>
  <c r="S40" i="8"/>
  <c r="Q121" i="8"/>
  <c r="Q172" i="8"/>
  <c r="Q72" i="8"/>
  <c r="Q106" i="8"/>
  <c r="Q209" i="8"/>
  <c r="Q274" i="8"/>
  <c r="H348" i="8"/>
  <c r="H300" i="8"/>
  <c r="H333" i="8"/>
  <c r="H317" i="8"/>
  <c r="H301" i="8"/>
  <c r="H212" i="8"/>
  <c r="H38" i="8"/>
  <c r="H59" i="8"/>
  <c r="J37" i="8"/>
  <c r="I16" i="8"/>
  <c r="J5" i="8"/>
  <c r="J6" i="8"/>
  <c r="H238" i="8"/>
  <c r="H116" i="8"/>
  <c r="I55" i="8"/>
  <c r="J36" i="8"/>
  <c r="H187" i="8"/>
  <c r="H108" i="8"/>
  <c r="H196" i="8"/>
  <c r="H146" i="8"/>
  <c r="H66" i="8"/>
  <c r="H279" i="8"/>
  <c r="H252" i="8"/>
  <c r="H54" i="8"/>
  <c r="I29" i="8"/>
  <c r="J8" i="8"/>
  <c r="H336" i="8"/>
  <c r="H312" i="8"/>
  <c r="H292" i="8"/>
  <c r="H337" i="8"/>
  <c r="H103" i="8"/>
  <c r="H35" i="8"/>
  <c r="I8" i="8"/>
  <c r="J14" i="8"/>
  <c r="H361" i="8"/>
  <c r="H314" i="8"/>
  <c r="H175" i="8"/>
  <c r="H37" i="8"/>
  <c r="H225" i="8"/>
  <c r="J60" i="8"/>
  <c r="H34" i="8"/>
  <c r="I25" i="8"/>
  <c r="H328" i="8"/>
  <c r="H299" i="8"/>
  <c r="H173" i="8"/>
  <c r="H62" i="8"/>
  <c r="J32" i="8"/>
  <c r="H135" i="8"/>
  <c r="H203" i="8"/>
  <c r="H170" i="8"/>
  <c r="J46" i="8"/>
  <c r="H105" i="8"/>
  <c r="I46" i="8"/>
  <c r="I15" i="8"/>
  <c r="E39" i="1"/>
  <c r="H345" i="8"/>
  <c r="H261" i="8"/>
  <c r="H204" i="8"/>
  <c r="H169" i="8"/>
  <c r="J56" i="8"/>
  <c r="J26" i="8"/>
  <c r="J52" i="8"/>
  <c r="H177" i="8"/>
  <c r="H73" i="8"/>
  <c r="H41" i="8"/>
  <c r="I14" i="8"/>
  <c r="H28" i="8"/>
  <c r="I5" i="8"/>
  <c r="H15" i="8"/>
  <c r="J17" i="8"/>
  <c r="J57" i="8"/>
  <c r="H97" i="8"/>
  <c r="M51" i="8"/>
  <c r="K172" i="8"/>
  <c r="K281" i="8"/>
  <c r="K338" i="8"/>
  <c r="L29" i="8"/>
  <c r="K347" i="8"/>
  <c r="K283" i="8"/>
  <c r="K70" i="8"/>
  <c r="H125" i="8"/>
  <c r="H218" i="8"/>
  <c r="H43" i="8"/>
  <c r="H179" i="8"/>
  <c r="H100" i="8"/>
  <c r="H258" i="8"/>
  <c r="H33" i="8"/>
  <c r="I21" i="8"/>
  <c r="H75" i="8"/>
  <c r="H359" i="8"/>
  <c r="H153" i="8"/>
  <c r="I12" i="8"/>
  <c r="H289" i="8"/>
  <c r="Q350" i="8"/>
  <c r="E43" i="1"/>
  <c r="Q157" i="8"/>
  <c r="S61" i="8"/>
  <c r="Q272" i="8"/>
  <c r="Q281" i="8"/>
  <c r="Q232" i="8"/>
  <c r="S59" i="8"/>
  <c r="Q69" i="8"/>
  <c r="Q314" i="8"/>
  <c r="Q295" i="8"/>
  <c r="Q195" i="8"/>
  <c r="Q82" i="8"/>
  <c r="Q118" i="8"/>
  <c r="S38" i="8"/>
  <c r="Q193" i="8"/>
  <c r="Q198" i="8"/>
  <c r="Q141" i="8"/>
  <c r="Q320" i="8"/>
  <c r="Q9" i="8"/>
  <c r="Q311" i="8"/>
  <c r="Q113" i="8"/>
  <c r="Q154" i="8"/>
  <c r="Q11" i="8"/>
  <c r="S21" i="8"/>
  <c r="S43" i="8"/>
  <c r="Q244" i="8"/>
  <c r="R19" i="8"/>
  <c r="D43" i="1"/>
  <c r="Q101" i="8"/>
  <c r="Q286" i="8"/>
  <c r="Q316" i="8"/>
  <c r="Q190" i="8"/>
  <c r="S50" i="8"/>
  <c r="Q144" i="8"/>
  <c r="Q263" i="8"/>
  <c r="Q171" i="8"/>
  <c r="Q68" i="8"/>
  <c r="Q35" i="8"/>
  <c r="Q177" i="8"/>
  <c r="Q44" i="8"/>
  <c r="B257" i="8"/>
  <c r="D22" i="8"/>
  <c r="D64" i="8"/>
  <c r="B87" i="8"/>
  <c r="B175" i="8"/>
  <c r="B259" i="8"/>
  <c r="C16" i="8"/>
  <c r="B8" i="8"/>
  <c r="B88" i="8"/>
  <c r="B162" i="8"/>
  <c r="D42" i="8"/>
  <c r="B67" i="8"/>
  <c r="B195" i="8"/>
  <c r="B303" i="8"/>
  <c r="C59" i="8"/>
  <c r="B109" i="8"/>
  <c r="B200" i="8"/>
  <c r="B280" i="8"/>
  <c r="B345" i="8"/>
  <c r="C41" i="8"/>
  <c r="B54" i="8"/>
  <c r="B154" i="8"/>
  <c r="B254" i="8"/>
  <c r="C47" i="8"/>
  <c r="B38" i="8"/>
  <c r="B117" i="8"/>
  <c r="B196" i="8"/>
  <c r="B266" i="8"/>
  <c r="B342" i="8"/>
  <c r="D31" i="8"/>
  <c r="B37" i="8"/>
  <c r="B108" i="8"/>
  <c r="B193" i="8"/>
  <c r="B265" i="8"/>
  <c r="B313" i="8"/>
  <c r="B360" i="8"/>
  <c r="C38" i="8"/>
  <c r="B21" i="8"/>
  <c r="B106" i="8"/>
  <c r="B177" i="8"/>
  <c r="B249" i="8"/>
  <c r="B310" i="8"/>
  <c r="B351" i="8"/>
  <c r="B308" i="8"/>
  <c r="B186" i="8"/>
  <c r="B44" i="8"/>
  <c r="B113" i="8"/>
  <c r="D18" i="8"/>
  <c r="D62" i="8"/>
  <c r="B83" i="8"/>
  <c r="B167" i="8"/>
  <c r="B255" i="8"/>
  <c r="C13" i="8"/>
  <c r="B13" i="8"/>
  <c r="B130" i="8"/>
  <c r="F5" i="8"/>
  <c r="F9" i="8"/>
  <c r="G12" i="8"/>
  <c r="E20" i="8"/>
  <c r="F23" i="8"/>
  <c r="G26" i="8"/>
  <c r="G36" i="8"/>
  <c r="E42" i="8"/>
  <c r="F47" i="8"/>
  <c r="G52" i="8"/>
  <c r="E76" i="8"/>
  <c r="E92" i="8"/>
  <c r="E124" i="8"/>
  <c r="E140" i="8"/>
  <c r="E156" i="8"/>
  <c r="E172" i="8"/>
  <c r="E188" i="8"/>
  <c r="E204" i="8"/>
  <c r="E220" i="8"/>
  <c r="E236" i="8"/>
  <c r="E256" i="8"/>
  <c r="E278" i="8"/>
  <c r="E320" i="8"/>
  <c r="E342" i="8"/>
  <c r="E364" i="8"/>
  <c r="E11" i="8"/>
  <c r="E35" i="8"/>
  <c r="E51" i="8"/>
  <c r="E151" i="8"/>
  <c r="E239" i="8"/>
  <c r="E361" i="8"/>
  <c r="E313" i="8"/>
  <c r="E271" i="8"/>
  <c r="E231" i="8"/>
  <c r="E183" i="8"/>
  <c r="E143" i="8"/>
  <c r="E103" i="8"/>
  <c r="E71" i="8"/>
  <c r="G49" i="8"/>
  <c r="F40" i="8"/>
  <c r="G33" i="8"/>
  <c r="G29" i="8"/>
  <c r="G17" i="8"/>
  <c r="G13" i="8"/>
  <c r="E7" i="8"/>
  <c r="E360" i="8"/>
  <c r="E350" i="8"/>
  <c r="E340" i="8"/>
  <c r="E328" i="8"/>
  <c r="E318" i="8"/>
  <c r="E308" i="8"/>
  <c r="E296" i="8"/>
  <c r="E286" i="8"/>
  <c r="E276" i="8"/>
  <c r="E254" i="8"/>
  <c r="E244" i="8"/>
  <c r="E234" i="8"/>
  <c r="E226" i="8"/>
  <c r="E202" i="8"/>
  <c r="E194" i="8"/>
  <c r="E178" i="8"/>
  <c r="E170" i="8"/>
  <c r="E162" i="8"/>
  <c r="E154" i="8"/>
  <c r="E146" i="8"/>
  <c r="E138" i="8"/>
  <c r="E130" i="8"/>
  <c r="E122" i="8"/>
  <c r="E114" i="8"/>
  <c r="E106" i="8"/>
  <c r="E90" i="8"/>
  <c r="E82" i="8"/>
  <c r="E74" i="8"/>
  <c r="E66" i="8"/>
  <c r="F57" i="8"/>
  <c r="G54" i="8"/>
  <c r="F49" i="8"/>
  <c r="G46" i="8"/>
  <c r="E44" i="8"/>
  <c r="F41" i="8"/>
  <c r="G38" i="8"/>
  <c r="E36" i="8"/>
  <c r="F33" i="8"/>
  <c r="G30" i="8"/>
  <c r="E345" i="8"/>
  <c r="E303" i="8"/>
  <c r="E215" i="8"/>
  <c r="E175" i="8"/>
  <c r="E135" i="8"/>
  <c r="E95" i="8"/>
  <c r="G45" i="8"/>
  <c r="E39" i="8"/>
  <c r="G27" i="8"/>
  <c r="G23" i="8"/>
  <c r="F20" i="8"/>
  <c r="F16" i="8"/>
  <c r="E13" i="8"/>
  <c r="G9" i="8"/>
  <c r="G5" i="8"/>
  <c r="E358" i="8"/>
  <c r="E348" i="8"/>
  <c r="E336" i="8"/>
  <c r="E316" i="8"/>
  <c r="E304" i="8"/>
  <c r="E294" i="8"/>
  <c r="E284" i="8"/>
  <c r="E252" i="8"/>
  <c r="E240" i="8"/>
  <c r="E224" i="8"/>
  <c r="E216" i="8"/>
  <c r="E208" i="8"/>
  <c r="E200" i="8"/>
  <c r="E192" i="8"/>
  <c r="E184" i="8"/>
  <c r="E176" i="8"/>
  <c r="E168" i="8"/>
  <c r="E160" i="8"/>
  <c r="E152" i="8"/>
  <c r="E136" i="8"/>
  <c r="E128" i="8"/>
  <c r="E120" i="8"/>
  <c r="E112" i="8"/>
  <c r="E88" i="8"/>
  <c r="E80" i="8"/>
  <c r="G64" i="8"/>
  <c r="E62" i="8"/>
  <c r="F59" i="8"/>
  <c r="G56" i="8"/>
  <c r="E54" i="8"/>
  <c r="F51" i="8"/>
  <c r="G48" i="8"/>
  <c r="E46" i="8"/>
  <c r="F43" i="8"/>
  <c r="G40" i="8"/>
  <c r="F35" i="8"/>
  <c r="G32" i="8"/>
  <c r="E30" i="8"/>
  <c r="F27" i="8"/>
  <c r="F19" i="8"/>
  <c r="G16" i="8"/>
  <c r="F11" i="8"/>
  <c r="G8" i="8"/>
  <c r="E6" i="8"/>
  <c r="N12" i="6"/>
  <c r="R12" i="6"/>
  <c r="P12" i="6"/>
  <c r="O12" i="6"/>
  <c r="B11" i="1"/>
  <c r="F21" i="7"/>
  <c r="F30" i="6"/>
  <c r="B38" i="1"/>
  <c r="B42" i="1"/>
  <c r="B39" i="1"/>
  <c r="B40" i="1"/>
  <c r="S42" i="8"/>
  <c r="S44" i="8"/>
  <c r="R48" i="8"/>
  <c r="Q96" i="8"/>
  <c r="R50" i="8"/>
  <c r="R27" i="8"/>
  <c r="Q324" i="8"/>
  <c r="Q318" i="8"/>
  <c r="Q201" i="8"/>
  <c r="Q40" i="8"/>
  <c r="Q225" i="8"/>
  <c r="Q247" i="8"/>
  <c r="Q66" i="8"/>
  <c r="Q192" i="8"/>
  <c r="Q208" i="8"/>
  <c r="Q251" i="8"/>
  <c r="Q58" i="8"/>
  <c r="Q63" i="8"/>
  <c r="R33" i="8"/>
  <c r="Q110" i="8"/>
  <c r="Q325" i="8"/>
  <c r="Q158" i="8"/>
  <c r="Q99" i="8"/>
  <c r="R39" i="8"/>
  <c r="R38" i="8"/>
  <c r="Q360" i="8"/>
  <c r="Q36" i="8"/>
  <c r="Q250" i="8"/>
  <c r="S22" i="8"/>
  <c r="S64" i="8"/>
  <c r="Q45" i="8"/>
  <c r="Q351" i="8"/>
  <c r="Q153" i="8"/>
  <c r="Q337" i="8"/>
  <c r="S16" i="8"/>
  <c r="Q8" i="8"/>
  <c r="Q292" i="8"/>
  <c r="Q122" i="8"/>
  <c r="Q67" i="8"/>
  <c r="Q262" i="8"/>
  <c r="Q47" i="8"/>
  <c r="S51" i="8"/>
  <c r="S53" i="8"/>
  <c r="S11" i="8"/>
  <c r="Q142" i="8"/>
  <c r="Q275" i="8"/>
  <c r="Q77" i="8"/>
  <c r="Q27" i="8"/>
  <c r="Q343" i="8"/>
  <c r="Q59" i="8"/>
  <c r="S14" i="8"/>
  <c r="Q95" i="8"/>
  <c r="Q79" i="8"/>
  <c r="S63" i="8"/>
  <c r="R18" i="8"/>
  <c r="Q355" i="8"/>
  <c r="S36" i="8"/>
  <c r="S34" i="8"/>
  <c r="Q352" i="8"/>
  <c r="S29" i="8"/>
  <c r="Q237" i="8"/>
  <c r="R10" i="8"/>
  <c r="Q205" i="8"/>
  <c r="Q18" i="8"/>
  <c r="S9" i="8"/>
  <c r="Q296" i="8"/>
  <c r="Q131" i="8"/>
  <c r="Q87" i="8"/>
  <c r="Q269" i="8"/>
  <c r="Q22" i="8"/>
  <c r="Q308" i="8"/>
  <c r="Q143" i="8"/>
  <c r="Q120" i="8"/>
  <c r="Q112" i="8"/>
  <c r="Q150" i="8"/>
  <c r="Q90" i="8"/>
  <c r="Q226" i="8"/>
  <c r="S33" i="8"/>
  <c r="Q317" i="8"/>
  <c r="Q315" i="8"/>
  <c r="Q133" i="8"/>
  <c r="Q53" i="8"/>
  <c r="Q160" i="8"/>
  <c r="R40" i="8"/>
  <c r="Q341" i="8"/>
  <c r="Q181" i="8"/>
  <c r="Q348" i="8"/>
  <c r="Q238" i="8"/>
  <c r="Q136" i="8"/>
  <c r="Q332" i="8"/>
  <c r="Q196" i="8"/>
  <c r="Q278" i="8"/>
  <c r="Q349" i="8"/>
  <c r="Q92" i="8"/>
  <c r="S27" i="8"/>
  <c r="Q186" i="8"/>
  <c r="Q206" i="8"/>
  <c r="Q358" i="8"/>
  <c r="S12" i="8"/>
  <c r="R28" i="8"/>
  <c r="Q94" i="8"/>
  <c r="Q175" i="8"/>
  <c r="R11" i="8"/>
  <c r="Q85" i="8"/>
  <c r="Q88" i="8"/>
  <c r="Q334" i="8"/>
  <c r="Q117" i="8"/>
  <c r="Q140" i="8"/>
  <c r="Q49" i="8"/>
  <c r="Q256" i="8"/>
  <c r="Q282" i="8"/>
  <c r="Q176" i="8"/>
  <c r="S28" i="8"/>
  <c r="Q57" i="8"/>
  <c r="S10" i="8"/>
  <c r="Q267" i="8"/>
  <c r="R43" i="8"/>
  <c r="S45" i="8"/>
  <c r="Q213" i="8"/>
  <c r="Q109" i="8"/>
  <c r="Q215" i="8"/>
  <c r="Q331" i="8"/>
  <c r="Q207" i="8"/>
  <c r="Q71" i="8"/>
  <c r="R16" i="8"/>
  <c r="S8" i="8"/>
  <c r="R29" i="8"/>
  <c r="Q357" i="8"/>
  <c r="Q91" i="8"/>
  <c r="Q338" i="8"/>
  <c r="Q111" i="8"/>
  <c r="Q78" i="8"/>
  <c r="S19" i="8"/>
  <c r="Q13" i="8"/>
  <c r="Q270" i="8"/>
  <c r="Q221" i="8"/>
  <c r="S20" i="8"/>
  <c r="R13" i="8"/>
  <c r="Q304" i="8"/>
  <c r="Q151" i="8"/>
  <c r="Q125" i="8"/>
  <c r="Q283" i="8"/>
  <c r="Q132" i="8"/>
  <c r="Q199" i="8"/>
  <c r="Q126" i="8"/>
  <c r="Q248" i="8"/>
  <c r="R49" i="8"/>
  <c r="Q353" i="8"/>
  <c r="Q273" i="8"/>
  <c r="Q129" i="8"/>
  <c r="Q194" i="8"/>
  <c r="Q289" i="8"/>
  <c r="R51" i="8"/>
  <c r="Q80" i="8"/>
  <c r="Q107" i="8"/>
  <c r="S54" i="8"/>
  <c r="Q162" i="8"/>
  <c r="R8" i="8"/>
  <c r="Q259" i="8"/>
  <c r="Q191" i="8"/>
  <c r="S49" i="8"/>
  <c r="Q362" i="8"/>
  <c r="R25" i="8"/>
  <c r="Q364" i="8"/>
  <c r="Q255" i="8"/>
  <c r="S56" i="8"/>
  <c r="Q284" i="8"/>
  <c r="R53" i="8"/>
  <c r="Q46" i="8"/>
  <c r="Q268" i="8"/>
  <c r="Q28" i="8"/>
  <c r="Q166" i="8"/>
  <c r="Q182" i="8"/>
  <c r="S52" i="8"/>
  <c r="Q183" i="8"/>
  <c r="Q73" i="8"/>
  <c r="R34" i="8"/>
  <c r="S6" i="8"/>
  <c r="Q134" i="8"/>
  <c r="Q344" i="8"/>
  <c r="R24" i="8"/>
  <c r="Q354" i="8"/>
  <c r="S57" i="8"/>
  <c r="Q309" i="8"/>
  <c r="Q30" i="8"/>
  <c r="Q257" i="8"/>
  <c r="Q307" i="8"/>
  <c r="Q76" i="8"/>
  <c r="R20" i="8"/>
  <c r="Q217" i="8"/>
  <c r="Q164" i="8"/>
  <c r="R12" i="8"/>
  <c r="R7" i="8"/>
  <c r="Q19" i="8"/>
  <c r="R62" i="8"/>
  <c r="Q89" i="8"/>
  <c r="Q187" i="8"/>
  <c r="R46" i="8"/>
  <c r="Q62" i="8"/>
  <c r="Q298" i="8"/>
  <c r="Q319" i="8"/>
  <c r="S39" i="8"/>
  <c r="Q203" i="8"/>
  <c r="S15" i="8"/>
  <c r="Q147" i="8"/>
  <c r="Q152" i="8"/>
  <c r="S32" i="8"/>
  <c r="Q185" i="8"/>
  <c r="R23" i="8"/>
  <c r="Q261" i="8"/>
  <c r="S41" i="8"/>
  <c r="Q51" i="8"/>
  <c r="Q294" i="8"/>
  <c r="Q285" i="8"/>
  <c r="Q32" i="8"/>
  <c r="Q108" i="8"/>
  <c r="Q145" i="8"/>
  <c r="Q83" i="8"/>
  <c r="Q218" i="8"/>
  <c r="R30" i="8"/>
  <c r="Q310" i="8"/>
  <c r="Q301" i="8"/>
  <c r="S60" i="8"/>
  <c r="Q70" i="8"/>
  <c r="S37" i="8"/>
  <c r="Q130" i="8"/>
  <c r="Q335" i="8"/>
  <c r="Q188" i="8"/>
  <c r="Q229" i="8"/>
  <c r="Q15" i="8"/>
  <c r="Q163" i="8"/>
  <c r="Q290" i="8"/>
  <c r="Q167" i="8"/>
  <c r="Q38" i="8"/>
  <c r="R36" i="8"/>
  <c r="Q356" i="8"/>
  <c r="R32" i="8"/>
  <c r="Q245" i="8"/>
  <c r="Q16" i="8"/>
  <c r="R35" i="8"/>
  <c r="Q252" i="8"/>
  <c r="Q359" i="8"/>
  <c r="Q97" i="8"/>
  <c r="Q138" i="8"/>
  <c r="Q200" i="8"/>
  <c r="Q33" i="8"/>
  <c r="S26" i="8"/>
  <c r="Q361" i="8"/>
  <c r="S25" i="8"/>
  <c r="S13" i="8"/>
  <c r="Q333" i="8"/>
  <c r="Q342" i="8"/>
  <c r="Q212" i="8"/>
  <c r="Q10" i="8"/>
  <c r="S23" i="8"/>
  <c r="Q74" i="8"/>
  <c r="Q127" i="8"/>
  <c r="Q100" i="8"/>
  <c r="Q31" i="8"/>
  <c r="Q202" i="8"/>
  <c r="Q228" i="8"/>
  <c r="R37" i="8"/>
  <c r="R26" i="8"/>
  <c r="Q146" i="8"/>
  <c r="Q168" i="8"/>
  <c r="S31" i="8"/>
  <c r="Q327" i="8"/>
  <c r="Q26" i="8"/>
  <c r="Q52" i="8"/>
  <c r="Q223" i="8"/>
  <c r="Q253" i="8"/>
  <c r="Q148" i="8"/>
  <c r="R52" i="8"/>
  <c r="Q264" i="8"/>
  <c r="Q293" i="8"/>
  <c r="Q204" i="8"/>
  <c r="Q119" i="8"/>
  <c r="Q345" i="8"/>
  <c r="Q75" i="8"/>
  <c r="R21" i="8"/>
  <c r="S30" i="8"/>
  <c r="Q105" i="8"/>
  <c r="S18" i="8"/>
  <c r="S58" i="8"/>
  <c r="Q6" i="8"/>
  <c r="Q216" i="8"/>
  <c r="Q297" i="8"/>
  <c r="Q312" i="8"/>
  <c r="Q242" i="8"/>
  <c r="R42" i="8"/>
  <c r="Q42" i="8"/>
  <c r="Q115" i="8"/>
  <c r="Q222" i="8"/>
  <c r="Q236" i="8"/>
  <c r="Q291" i="8"/>
  <c r="R63" i="8"/>
  <c r="Q81" i="8"/>
  <c r="Q149" i="8"/>
  <c r="Q346" i="8"/>
  <c r="Q214" i="8"/>
  <c r="S62" i="8"/>
  <c r="R45" i="8"/>
  <c r="R9" i="8"/>
  <c r="Q271" i="8"/>
  <c r="Q48" i="8"/>
  <c r="Q64" i="8"/>
  <c r="Q21" i="8"/>
  <c r="R57" i="8"/>
  <c r="R22" i="8"/>
  <c r="S7" i="8"/>
  <c r="Q174" i="8"/>
  <c r="Q139" i="8"/>
  <c r="Q246" i="8"/>
  <c r="Q39" i="8"/>
  <c r="Q29" i="8"/>
  <c r="Q103" i="8"/>
  <c r="Q169" i="8"/>
  <c r="Q220" i="8"/>
  <c r="Q137" i="8"/>
  <c r="Q5" i="8"/>
  <c r="Q17" i="8"/>
  <c r="Q340" i="8"/>
  <c r="Q260" i="8"/>
  <c r="Q305" i="8"/>
  <c r="Q25" i="8"/>
  <c r="Q258" i="8"/>
  <c r="Q128" i="8"/>
  <c r="Q61" i="8"/>
  <c r="Q50" i="8"/>
  <c r="R5" i="8"/>
  <c r="Q102" i="8"/>
  <c r="Q249" i="8"/>
  <c r="Q224" i="8"/>
  <c r="Q54" i="8"/>
  <c r="Q23" i="8"/>
  <c r="Q34" i="8"/>
  <c r="Q303" i="8"/>
  <c r="Q56" i="8"/>
  <c r="Q180" i="8"/>
  <c r="Q302" i="8"/>
  <c r="Q277" i="8"/>
  <c r="S35" i="8"/>
  <c r="Q86" i="8"/>
  <c r="Q155" i="8"/>
  <c r="R6" i="8"/>
  <c r="Q313" i="8"/>
  <c r="Q239" i="8"/>
  <c r="S47" i="8"/>
  <c r="Q20" i="8"/>
  <c r="R58" i="8"/>
  <c r="S24" i="8"/>
  <c r="R54" i="8"/>
  <c r="R41" i="8"/>
  <c r="Q135" i="8"/>
  <c r="Q170" i="8"/>
  <c r="Q84" i="8"/>
  <c r="S55" i="8"/>
  <c r="Q219" i="8"/>
  <c r="Q322" i="8"/>
  <c r="Q235" i="8"/>
  <c r="Q165" i="8"/>
  <c r="Q93" i="8"/>
  <c r="R55" i="8"/>
  <c r="S17" i="8"/>
  <c r="Q123" i="8"/>
  <c r="Q265" i="8"/>
  <c r="Q210" i="8"/>
  <c r="Q12" i="8"/>
  <c r="Q65" i="8"/>
  <c r="Q329" i="8"/>
  <c r="Q116" i="8"/>
  <c r="R15" i="8"/>
  <c r="Q306" i="8"/>
  <c r="Q43" i="8"/>
  <c r="Q179" i="8"/>
  <c r="Q347" i="8"/>
  <c r="Q287" i="8"/>
  <c r="Q231" i="8"/>
  <c r="R64" i="8"/>
  <c r="Q266" i="8"/>
  <c r="Q326" i="8"/>
  <c r="Q328" i="8"/>
  <c r="Q321" i="8"/>
  <c r="Q55" i="8"/>
  <c r="R47" i="8"/>
  <c r="Q159" i="8"/>
  <c r="Q41" i="8"/>
  <c r="Q241" i="8"/>
  <c r="Q280" i="8"/>
  <c r="Q173" i="8"/>
  <c r="R17" i="8"/>
  <c r="R31" i="8"/>
  <c r="R44" i="8"/>
  <c r="Q14" i="8"/>
  <c r="Q299" i="8"/>
  <c r="R59" i="8"/>
  <c r="Q323" i="8"/>
  <c r="Q254" i="8"/>
  <c r="Q189" i="8"/>
  <c r="Q124" i="8"/>
  <c r="Q243" i="8"/>
  <c r="Q233" i="8"/>
  <c r="S48" i="8"/>
  <c r="Q104" i="8"/>
  <c r="R61" i="8"/>
  <c r="Q197" i="8"/>
  <c r="Q7" i="8"/>
  <c r="Q184" i="8"/>
  <c r="Q24" i="8"/>
  <c r="R60" i="8"/>
  <c r="R14" i="8"/>
  <c r="Q156" i="8"/>
  <c r="Q227" i="8"/>
  <c r="Q276" i="8"/>
  <c r="S46" i="8"/>
  <c r="Q211" i="8"/>
  <c r="Q339" i="8"/>
  <c r="Q336" i="8"/>
  <c r="Q279" i="8"/>
  <c r="R56" i="8"/>
  <c r="Q178" i="8"/>
  <c r="Q300" i="8"/>
  <c r="Q330" i="8"/>
  <c r="Q230" i="8"/>
  <c r="Q234" i="8"/>
  <c r="Q114" i="8"/>
  <c r="Q363" i="8"/>
  <c r="H352" i="8"/>
  <c r="H271" i="8"/>
  <c r="H130" i="8"/>
  <c r="G6" i="8"/>
  <c r="E28" i="8"/>
  <c r="G42" i="8"/>
  <c r="G58" i="8"/>
  <c r="E94" i="8"/>
  <c r="E238" i="8"/>
  <c r="E302" i="8"/>
  <c r="E5" i="8"/>
  <c r="E27" i="8"/>
  <c r="E87" i="8"/>
  <c r="E295" i="8"/>
  <c r="E119" i="8"/>
  <c r="F44" i="8"/>
  <c r="F8" i="8"/>
  <c r="E334" i="8"/>
  <c r="E292" i="8"/>
  <c r="E248" i="8"/>
  <c r="E150" i="8"/>
  <c r="E118" i="8"/>
  <c r="E86" i="8"/>
  <c r="F61" i="8"/>
  <c r="G50" i="8"/>
  <c r="E40" i="8"/>
  <c r="F29" i="8"/>
  <c r="G22" i="8"/>
  <c r="F15" i="8"/>
  <c r="E8" i="8"/>
  <c r="E55" i="8"/>
  <c r="E191" i="8"/>
  <c r="E41" i="1"/>
  <c r="E353" i="8"/>
  <c r="E199" i="8"/>
  <c r="F60" i="8"/>
  <c r="F30" i="8"/>
  <c r="E310" i="8"/>
  <c r="E268" i="8"/>
  <c r="E228" i="8"/>
  <c r="E196" i="8"/>
  <c r="E164" i="8"/>
  <c r="E132" i="8"/>
  <c r="E100" i="8"/>
  <c r="E68" i="8"/>
  <c r="F55" i="8"/>
  <c r="G44" i="8"/>
  <c r="E34" i="8"/>
  <c r="F25" i="8"/>
  <c r="E18" i="8"/>
  <c r="E127" i="8"/>
  <c r="E321" i="8"/>
  <c r="E299" i="8"/>
  <c r="I33" i="8"/>
  <c r="H245" i="8"/>
  <c r="H12" i="8"/>
  <c r="H123" i="8"/>
  <c r="I62" i="8"/>
  <c r="H60" i="8"/>
  <c r="H145" i="8"/>
  <c r="F13" i="8"/>
  <c r="E24" i="8"/>
  <c r="F37" i="8"/>
  <c r="F53" i="8"/>
  <c r="E78" i="8"/>
  <c r="E174" i="8"/>
  <c r="E222" i="8"/>
  <c r="E280" i="8"/>
  <c r="E344" i="8"/>
  <c r="E247" i="8"/>
  <c r="D41" i="8"/>
  <c r="B79" i="8"/>
  <c r="D9" i="8"/>
  <c r="B152" i="8"/>
  <c r="B5" i="8"/>
  <c r="B190" i="8"/>
  <c r="B68" i="8"/>
  <c r="B294" i="8"/>
  <c r="B15" i="8"/>
  <c r="B271" i="8"/>
  <c r="B93" i="8"/>
  <c r="B322" i="8"/>
  <c r="B112" i="8"/>
  <c r="B10" i="8"/>
  <c r="B238" i="8"/>
  <c r="B65" i="8"/>
  <c r="B354" i="8"/>
  <c r="B206" i="8"/>
  <c r="B129" i="8"/>
  <c r="B327" i="8"/>
  <c r="B199" i="8"/>
  <c r="B71" i="8"/>
  <c r="D34" i="8"/>
  <c r="C63" i="8"/>
  <c r="B302" i="8"/>
  <c r="B132" i="8"/>
  <c r="D43" i="8"/>
  <c r="B126" i="8"/>
  <c r="C11" i="8"/>
  <c r="B216" i="8"/>
  <c r="C56" i="8"/>
  <c r="B231" i="8"/>
  <c r="B63" i="8"/>
  <c r="D6" i="8"/>
  <c r="B101" i="8"/>
  <c r="B356" i="8"/>
  <c r="B282" i="8"/>
  <c r="B134" i="8"/>
  <c r="D59" i="8"/>
  <c r="B339" i="8"/>
  <c r="B222" i="8"/>
  <c r="B80" i="8"/>
  <c r="B363" i="8"/>
  <c r="B230" i="8"/>
  <c r="B81" i="8"/>
  <c r="D25" i="8"/>
  <c r="B105" i="8"/>
  <c r="D15" i="8"/>
  <c r="B237" i="8"/>
  <c r="B50" i="8"/>
  <c r="B239" i="8"/>
  <c r="B23" i="8"/>
  <c r="B70" i="8"/>
  <c r="B26" i="1"/>
  <c r="D58" i="8"/>
  <c r="B247" i="8"/>
  <c r="B77" i="8"/>
  <c r="B306" i="8"/>
  <c r="B97" i="8"/>
  <c r="C61" i="8"/>
  <c r="B224" i="8"/>
  <c r="D26" i="8"/>
  <c r="B183" i="8"/>
  <c r="B24" i="8"/>
  <c r="B248" i="8"/>
  <c r="B20" i="8"/>
  <c r="C33" i="8"/>
  <c r="B166" i="8"/>
  <c r="C25" i="8"/>
  <c r="B284" i="8"/>
  <c r="B92" i="8"/>
  <c r="B326" i="8"/>
  <c r="C35" i="8"/>
  <c r="B243" i="8"/>
  <c r="B115" i="8"/>
  <c r="D56" i="8"/>
  <c r="B355" i="8"/>
  <c r="B352" i="8"/>
  <c r="B188" i="8"/>
  <c r="B17" i="8"/>
  <c r="B197" i="8"/>
  <c r="D47" i="8"/>
  <c r="B269" i="8"/>
  <c r="B72" i="8"/>
  <c r="B295" i="8"/>
  <c r="B127" i="8"/>
  <c r="D40" i="8"/>
  <c r="B30" i="8"/>
  <c r="C57" i="8"/>
  <c r="B289" i="8"/>
  <c r="B320" i="8"/>
  <c r="B192" i="8"/>
  <c r="B49" i="8"/>
  <c r="D7" i="8"/>
  <c r="B276" i="8"/>
  <c r="B137" i="8"/>
  <c r="C39" i="8"/>
  <c r="B288" i="8"/>
  <c r="B138" i="8"/>
  <c r="C54" i="8"/>
  <c r="B182" i="8"/>
  <c r="C55" i="8"/>
  <c r="B290" i="8"/>
  <c r="B120" i="8"/>
  <c r="B323" i="8"/>
  <c r="B111" i="8"/>
  <c r="B28" i="1"/>
  <c r="B44" i="1"/>
  <c r="B46" i="1"/>
  <c r="B35" i="1"/>
  <c r="E34" i="7" s="1"/>
  <c r="B47" i="1"/>
  <c r="B45" i="1"/>
  <c r="H55" i="8" l="1"/>
  <c r="H323" i="8"/>
  <c r="H27" i="8"/>
  <c r="J15" i="8"/>
  <c r="H6" i="8"/>
  <c r="H315" i="8"/>
  <c r="H283" i="8"/>
  <c r="H273" i="8"/>
  <c r="I64" i="8"/>
  <c r="H311" i="8"/>
  <c r="H80" i="8"/>
  <c r="H288" i="8"/>
  <c r="I50" i="8"/>
  <c r="J19" i="8"/>
  <c r="I6" i="8"/>
  <c r="H362" i="8"/>
  <c r="H171" i="8"/>
  <c r="H157" i="8"/>
  <c r="I42" i="8"/>
  <c r="J49" i="8"/>
  <c r="H114" i="8"/>
  <c r="H31" i="8"/>
  <c r="H206" i="8"/>
  <c r="H234" i="8"/>
  <c r="H357" i="8"/>
  <c r="I7" i="8"/>
  <c r="H316" i="8"/>
  <c r="H247" i="8"/>
  <c r="I17" i="8"/>
  <c r="H319" i="8"/>
  <c r="H72" i="8"/>
  <c r="H210" i="8"/>
  <c r="H229" i="8"/>
  <c r="H188" i="8"/>
  <c r="J21" i="8"/>
  <c r="H205" i="8"/>
  <c r="J51" i="8"/>
  <c r="H220" i="8"/>
  <c r="H250" i="8"/>
  <c r="H70" i="8"/>
  <c r="H63" i="8"/>
  <c r="H166" i="8"/>
  <c r="H36" i="8"/>
  <c r="H192" i="8"/>
  <c r="H128" i="8"/>
  <c r="H57" i="8"/>
  <c r="H344" i="8"/>
  <c r="H144" i="8"/>
  <c r="H150" i="8"/>
  <c r="H233" i="8"/>
  <c r="I27" i="8"/>
  <c r="H118" i="8"/>
  <c r="H107" i="8"/>
  <c r="H277" i="8"/>
  <c r="H71" i="8"/>
  <c r="H327" i="8"/>
  <c r="H213" i="8"/>
  <c r="H76" i="8"/>
  <c r="H22" i="8"/>
  <c r="H358" i="8"/>
  <c r="J61" i="8"/>
  <c r="H174" i="8"/>
  <c r="H47" i="8"/>
  <c r="H284" i="8"/>
  <c r="H139" i="8"/>
  <c r="H334" i="8"/>
  <c r="I22" i="8"/>
  <c r="H294" i="8"/>
  <c r="H21" i="8"/>
  <c r="J42" i="8"/>
  <c r="J35" i="8"/>
  <c r="H308" i="8"/>
  <c r="J45" i="8"/>
  <c r="H149" i="8"/>
  <c r="H349" i="8"/>
  <c r="H88" i="8"/>
  <c r="H189" i="8"/>
  <c r="H207" i="8"/>
  <c r="H106" i="8"/>
  <c r="H208" i="8"/>
  <c r="H98" i="8"/>
  <c r="H239" i="8"/>
  <c r="H266" i="8"/>
  <c r="J27" i="8"/>
  <c r="H191" i="8"/>
  <c r="H99" i="8"/>
  <c r="H305" i="8"/>
  <c r="H136" i="8"/>
  <c r="H49" i="8"/>
  <c r="H310" i="8"/>
  <c r="H115" i="8"/>
  <c r="H167" i="8"/>
  <c r="H342" i="8"/>
  <c r="H124" i="8"/>
  <c r="H285" i="8"/>
  <c r="H195" i="8"/>
  <c r="H141" i="8"/>
  <c r="J7" i="8"/>
  <c r="H158" i="8"/>
  <c r="H133" i="8"/>
  <c r="H242" i="8"/>
  <c r="H223" i="8"/>
  <c r="H147" i="8"/>
  <c r="H309" i="8"/>
  <c r="H50" i="8"/>
  <c r="J59" i="8"/>
  <c r="H74" i="8"/>
  <c r="H61" i="8"/>
  <c r="J41" i="8"/>
  <c r="H335" i="8"/>
  <c r="H262" i="8"/>
  <c r="H184" i="8"/>
  <c r="H237" i="8"/>
  <c r="H269" i="8"/>
  <c r="H143" i="8"/>
  <c r="H93" i="8"/>
  <c r="H216" i="8"/>
  <c r="H142" i="8"/>
  <c r="J63" i="8"/>
  <c r="H200" i="8"/>
  <c r="H117" i="8"/>
  <c r="H318" i="8"/>
  <c r="H265" i="8"/>
  <c r="H219" i="8"/>
  <c r="J11" i="8"/>
  <c r="H232" i="8"/>
  <c r="I18" i="8"/>
  <c r="J9" i="8"/>
  <c r="H87" i="8"/>
  <c r="H64" i="8"/>
  <c r="H77" i="8"/>
  <c r="J47" i="8"/>
  <c r="I37" i="8"/>
  <c r="H253" i="8"/>
  <c r="H111" i="8"/>
  <c r="H53" i="8"/>
  <c r="H181" i="8"/>
  <c r="H78" i="8"/>
  <c r="J39" i="8"/>
  <c r="H120" i="8"/>
  <c r="I58" i="8"/>
  <c r="H214" i="8"/>
  <c r="H185" i="8"/>
  <c r="H140" i="8"/>
  <c r="H248" i="8"/>
  <c r="H152" i="8"/>
  <c r="H363" i="8"/>
  <c r="I44" i="8"/>
  <c r="H168" i="8"/>
  <c r="H255" i="8"/>
  <c r="H290" i="8"/>
  <c r="J64" i="8"/>
  <c r="H13" i="8"/>
  <c r="H217" i="8"/>
  <c r="I48" i="8"/>
  <c r="H364" i="8"/>
  <c r="H340" i="8"/>
  <c r="J24" i="8"/>
  <c r="H282" i="8"/>
  <c r="I35" i="8"/>
  <c r="H355" i="8"/>
  <c r="I30" i="8"/>
  <c r="H231" i="8"/>
  <c r="I26" i="8"/>
  <c r="J10" i="8"/>
  <c r="H127" i="8"/>
  <c r="H286" i="8"/>
  <c r="J43" i="8"/>
  <c r="H91" i="8"/>
  <c r="I9" i="8"/>
  <c r="H331" i="8"/>
  <c r="H101" i="8"/>
  <c r="K203" i="8"/>
  <c r="L58" i="8"/>
  <c r="K38" i="8"/>
  <c r="K23" i="8"/>
  <c r="K139" i="8"/>
  <c r="K124" i="8"/>
  <c r="K162" i="8"/>
  <c r="K15" i="8"/>
  <c r="K219" i="8"/>
  <c r="K32" i="8"/>
  <c r="H104" i="8"/>
  <c r="H211" i="8"/>
  <c r="K284" i="8"/>
  <c r="K117" i="8"/>
  <c r="K87" i="8"/>
  <c r="K111" i="8"/>
  <c r="K218" i="8"/>
  <c r="K351" i="8"/>
  <c r="K270" i="8"/>
  <c r="K193" i="8"/>
  <c r="K102" i="8"/>
  <c r="M35" i="8"/>
  <c r="K141" i="8"/>
  <c r="M52" i="8"/>
  <c r="K47" i="8"/>
  <c r="K292" i="8"/>
  <c r="K211" i="8"/>
  <c r="K105" i="8"/>
  <c r="K262" i="8"/>
  <c r="K170" i="8"/>
  <c r="K25" i="8"/>
  <c r="K82" i="8"/>
  <c r="M54" i="8"/>
  <c r="K313" i="8"/>
  <c r="L48" i="8"/>
  <c r="M39" i="8"/>
  <c r="L30" i="8"/>
  <c r="K355" i="8"/>
  <c r="K95" i="8"/>
  <c r="K197" i="8"/>
  <c r="K319" i="8"/>
  <c r="L62" i="8"/>
  <c r="K164" i="8"/>
  <c r="K73" i="8"/>
  <c r="K342" i="8"/>
  <c r="M60" i="8"/>
  <c r="K110" i="8"/>
  <c r="K65" i="8"/>
  <c r="K334" i="8"/>
  <c r="L23" i="8"/>
  <c r="K220" i="8"/>
  <c r="K305" i="8"/>
  <c r="K208" i="8"/>
  <c r="K169" i="8"/>
  <c r="K153" i="8"/>
  <c r="K86" i="8"/>
  <c r="K345" i="8"/>
  <c r="K63" i="8"/>
  <c r="K289" i="8"/>
  <c r="K363" i="8"/>
  <c r="K339" i="8"/>
  <c r="K79" i="8"/>
  <c r="K176" i="8"/>
  <c r="K287" i="8"/>
  <c r="L36" i="8"/>
  <c r="K136" i="8"/>
  <c r="K55" i="8"/>
  <c r="K285" i="8"/>
  <c r="K280" i="8"/>
  <c r="K196" i="8"/>
  <c r="K100" i="8"/>
  <c r="K6" i="8"/>
  <c r="L63" i="8"/>
  <c r="K245" i="8"/>
  <c r="K341" i="8"/>
  <c r="L14" i="8"/>
  <c r="K84" i="8"/>
  <c r="K225" i="8"/>
  <c r="K121" i="8"/>
  <c r="K14" i="8"/>
  <c r="K104" i="8"/>
  <c r="K51" i="8"/>
  <c r="K331" i="8"/>
  <c r="K323" i="8"/>
  <c r="K64" i="8"/>
  <c r="K154" i="8"/>
  <c r="K255" i="8"/>
  <c r="L9" i="8"/>
  <c r="K108" i="8"/>
  <c r="K41" i="8"/>
  <c r="L38" i="8"/>
  <c r="K252" i="8"/>
  <c r="L32" i="8"/>
  <c r="K142" i="8"/>
  <c r="K20" i="8"/>
  <c r="K279" i="8"/>
  <c r="K330" i="8"/>
  <c r="M11" i="8"/>
  <c r="L52" i="8"/>
  <c r="K98" i="8"/>
  <c r="K250" i="8"/>
  <c r="K157" i="8"/>
  <c r="K28" i="8"/>
  <c r="M16" i="8"/>
  <c r="K249" i="8"/>
  <c r="M6" i="8"/>
  <c r="K215" i="8"/>
  <c r="K239" i="8"/>
  <c r="K329" i="8"/>
  <c r="M13" i="8"/>
  <c r="K54" i="8"/>
  <c r="K27" i="8"/>
  <c r="K269" i="8"/>
  <c r="K68" i="8"/>
  <c r="L5" i="8"/>
  <c r="L24" i="8"/>
  <c r="K201" i="8"/>
  <c r="K59" i="8"/>
  <c r="K247" i="8"/>
  <c r="K146" i="8"/>
  <c r="M44" i="8"/>
  <c r="K261" i="8"/>
  <c r="K107" i="8"/>
  <c r="K257" i="8"/>
  <c r="K222" i="8"/>
  <c r="M64" i="8"/>
  <c r="K271" i="8"/>
  <c r="K152" i="8"/>
  <c r="K30" i="8"/>
  <c r="L11" i="8"/>
  <c r="K175" i="8"/>
  <c r="K112" i="8"/>
  <c r="K91" i="8"/>
  <c r="K268" i="8"/>
  <c r="M12" i="8"/>
  <c r="K89" i="8"/>
  <c r="K190" i="8"/>
  <c r="K214" i="8"/>
  <c r="K227" i="8"/>
  <c r="K161" i="8"/>
  <c r="M50" i="8"/>
  <c r="K52" i="8"/>
  <c r="K233" i="8"/>
  <c r="K236" i="8"/>
  <c r="L7" i="8"/>
  <c r="K288" i="8"/>
  <c r="K61" i="8"/>
  <c r="K231" i="8"/>
  <c r="K159" i="8"/>
  <c r="K90" i="8"/>
  <c r="K67" i="8"/>
  <c r="L56" i="8"/>
  <c r="K349" i="8"/>
  <c r="M20" i="8"/>
  <c r="L40" i="8"/>
  <c r="L28" i="8"/>
  <c r="L31" i="8"/>
  <c r="K242" i="8"/>
  <c r="K72" i="8"/>
  <c r="K71" i="8"/>
  <c r="K273" i="8"/>
  <c r="L49" i="8"/>
  <c r="L55" i="8"/>
  <c r="K81" i="8"/>
  <c r="K358" i="8"/>
  <c r="K229" i="8"/>
  <c r="K167" i="8"/>
  <c r="K56" i="8"/>
  <c r="M45" i="8"/>
  <c r="K22" i="8"/>
  <c r="K78" i="8"/>
  <c r="K238" i="8"/>
  <c r="E42" i="1"/>
  <c r="K278" i="8"/>
  <c r="K353" i="8"/>
  <c r="K46" i="8"/>
  <c r="M23" i="8"/>
  <c r="K185" i="8"/>
  <c r="K235" i="8"/>
  <c r="K321" i="8"/>
  <c r="M8" i="8"/>
  <c r="L43" i="8"/>
  <c r="L26" i="8"/>
  <c r="L17" i="8"/>
  <c r="K318" i="8"/>
  <c r="K151" i="8"/>
  <c r="K48" i="8"/>
  <c r="K35" i="8"/>
  <c r="K12" i="8"/>
  <c r="M57" i="8"/>
  <c r="K182" i="8"/>
  <c r="M17" i="8"/>
  <c r="K364" i="8"/>
  <c r="K19" i="8"/>
  <c r="K60" i="8"/>
  <c r="M59" i="8"/>
  <c r="K228" i="8"/>
  <c r="L39" i="8"/>
  <c r="K9" i="8"/>
  <c r="M29" i="8"/>
  <c r="K320" i="8"/>
  <c r="K156" i="8"/>
  <c r="M33" i="8"/>
  <c r="K294" i="8"/>
  <c r="K135" i="8"/>
  <c r="K40" i="8"/>
  <c r="M24" i="8"/>
  <c r="K356" i="8"/>
  <c r="M43" i="8"/>
  <c r="K125" i="8"/>
  <c r="K226" i="8"/>
  <c r="M19" i="8"/>
  <c r="M37" i="8"/>
  <c r="K83" i="8"/>
  <c r="K140" i="8"/>
  <c r="L34" i="8"/>
  <c r="K263" i="8"/>
  <c r="M30" i="8"/>
  <c r="M48" i="8"/>
  <c r="K97" i="8"/>
  <c r="K129" i="8"/>
  <c r="M15" i="8"/>
  <c r="K307" i="8"/>
  <c r="K16" i="8"/>
  <c r="K304" i="8"/>
  <c r="K213" i="8"/>
  <c r="K354" i="8"/>
  <c r="K316" i="8"/>
  <c r="K266" i="8"/>
  <c r="K88" i="8"/>
  <c r="K165" i="8"/>
  <c r="K327" i="8"/>
  <c r="K306" i="8"/>
  <c r="M21" i="8"/>
  <c r="M10" i="8"/>
  <c r="K109" i="8"/>
  <c r="K181" i="8"/>
  <c r="K361" i="8"/>
  <c r="M46" i="8"/>
  <c r="K93" i="8"/>
  <c r="K259" i="8"/>
  <c r="K308" i="8"/>
  <c r="L42" i="8"/>
  <c r="K128" i="8"/>
  <c r="K241" i="8"/>
  <c r="K177" i="8"/>
  <c r="K118" i="8"/>
  <c r="K237" i="8"/>
  <c r="L41" i="8"/>
  <c r="K337" i="8"/>
  <c r="M62" i="8"/>
  <c r="K96" i="8"/>
  <c r="K174" i="8"/>
  <c r="L22" i="8"/>
  <c r="J33" i="8"/>
  <c r="H32" i="8"/>
  <c r="I52" i="8"/>
  <c r="H148" i="8"/>
  <c r="H324" i="8"/>
  <c r="H350" i="8"/>
  <c r="H82" i="8"/>
  <c r="H69" i="8"/>
  <c r="H51" i="8"/>
  <c r="I10" i="8"/>
  <c r="H156" i="8"/>
  <c r="H162" i="8"/>
  <c r="H79" i="8"/>
  <c r="H332" i="8"/>
  <c r="K75" i="8"/>
  <c r="K66" i="8"/>
  <c r="K340" i="8"/>
  <c r="K210" i="8"/>
  <c r="K50" i="8"/>
  <c r="K17" i="8"/>
  <c r="K189" i="8"/>
  <c r="L21" i="8"/>
  <c r="L13" i="8"/>
  <c r="K191" i="8"/>
  <c r="K362" i="8"/>
  <c r="H110" i="8"/>
  <c r="H58" i="8"/>
  <c r="H281" i="8"/>
  <c r="I59" i="8"/>
  <c r="H56" i="8"/>
  <c r="H263" i="8"/>
  <c r="H339" i="8"/>
  <c r="H94" i="8"/>
  <c r="K232" i="8"/>
  <c r="H18" i="8"/>
  <c r="I47" i="8"/>
  <c r="H270" i="8"/>
  <c r="I11" i="8"/>
  <c r="J12" i="8"/>
  <c r="H209" i="8"/>
  <c r="H227" i="8"/>
  <c r="H96" i="8"/>
  <c r="H257" i="8"/>
  <c r="H287" i="8"/>
  <c r="K276" i="8"/>
  <c r="K344" i="8"/>
  <c r="K138" i="8"/>
  <c r="M41" i="8"/>
  <c r="K234" i="8"/>
  <c r="K258" i="8"/>
  <c r="K11" i="8"/>
  <c r="K332" i="8"/>
  <c r="L19" i="8"/>
  <c r="K357" i="8"/>
  <c r="I43" i="8"/>
  <c r="K18" i="8"/>
  <c r="H226" i="8"/>
  <c r="H85" i="8"/>
  <c r="H155" i="8"/>
  <c r="H246" i="8"/>
  <c r="I19" i="8"/>
  <c r="L57" i="8"/>
  <c r="M61" i="8"/>
  <c r="K202" i="8"/>
  <c r="M9" i="8"/>
  <c r="K360" i="8"/>
  <c r="L35" i="8"/>
  <c r="H46" i="8"/>
  <c r="J13" i="8"/>
  <c r="J20" i="8"/>
  <c r="L64" i="8"/>
  <c r="I13" i="8"/>
  <c r="H295" i="8"/>
  <c r="I41" i="8"/>
  <c r="J34" i="8"/>
  <c r="H52" i="8"/>
  <c r="H42" i="8"/>
  <c r="H68" i="8"/>
  <c r="H322" i="8"/>
  <c r="H321" i="8"/>
  <c r="I34" i="8"/>
  <c r="H193" i="8"/>
  <c r="L20" i="8"/>
  <c r="M42" i="8"/>
  <c r="K43" i="8"/>
  <c r="K7" i="8"/>
  <c r="K122" i="8"/>
  <c r="K132" i="8"/>
  <c r="M38" i="8"/>
  <c r="M53" i="8"/>
  <c r="M56" i="8"/>
  <c r="L51" i="8"/>
  <c r="K206" i="8"/>
  <c r="E329" i="8"/>
  <c r="E246" i="8"/>
  <c r="F45" i="8"/>
  <c r="E203" i="8"/>
  <c r="E17" i="8"/>
  <c r="E242" i="8"/>
  <c r="E245" i="8"/>
  <c r="E85" i="8"/>
  <c r="E347" i="8"/>
  <c r="E185" i="8"/>
  <c r="G51" i="8"/>
  <c r="E279" i="8"/>
  <c r="E230" i="8"/>
  <c r="F39" i="8"/>
  <c r="E187" i="8"/>
  <c r="F14" i="8"/>
  <c r="E357" i="8"/>
  <c r="E237" i="8"/>
  <c r="E77" i="8"/>
  <c r="E339" i="8"/>
  <c r="E177" i="8"/>
  <c r="E207" i="8"/>
  <c r="E212" i="8"/>
  <c r="G34" i="8"/>
  <c r="E171" i="8"/>
  <c r="G11" i="8"/>
  <c r="E341" i="8"/>
  <c r="E229" i="8"/>
  <c r="E69" i="8"/>
  <c r="E331" i="8"/>
  <c r="E169" i="8"/>
  <c r="F46" i="8"/>
  <c r="E167" i="8"/>
  <c r="E206" i="8"/>
  <c r="E32" i="8"/>
  <c r="E155" i="8"/>
  <c r="E9" i="8"/>
  <c r="E325" i="8"/>
  <c r="E221" i="8"/>
  <c r="G63" i="8"/>
  <c r="E323" i="8"/>
  <c r="E161" i="8"/>
  <c r="G43" i="8"/>
  <c r="G7" i="8"/>
  <c r="E102" i="8"/>
  <c r="F7" i="8"/>
  <c r="E311" i="8"/>
  <c r="E47" i="8"/>
  <c r="E306" i="8"/>
  <c r="E179" i="8"/>
  <c r="E309" i="8"/>
  <c r="E149" i="8"/>
  <c r="G39" i="8"/>
  <c r="E249" i="8"/>
  <c r="E89" i="8"/>
  <c r="E16" i="8"/>
  <c r="G37" i="8"/>
  <c r="E84" i="8"/>
  <c r="E91" i="8"/>
  <c r="E298" i="8"/>
  <c r="E319" i="8"/>
  <c r="E109" i="8"/>
  <c r="E297" i="8"/>
  <c r="E97" i="8"/>
  <c r="F31" i="8"/>
  <c r="E300" i="8"/>
  <c r="E59" i="8"/>
  <c r="E264" i="8"/>
  <c r="E98" i="8"/>
  <c r="E263" i="8"/>
  <c r="E326" i="8"/>
  <c r="E144" i="8"/>
  <c r="E38" i="8"/>
  <c r="F17" i="8"/>
  <c r="E23" i="8"/>
  <c r="E267" i="8"/>
  <c r="G10" i="8"/>
  <c r="E126" i="8"/>
  <c r="E31" i="8"/>
  <c r="E70" i="8"/>
  <c r="E75" i="8"/>
  <c r="E290" i="8"/>
  <c r="F12" i="8"/>
  <c r="E56" i="8"/>
  <c r="E79" i="8"/>
  <c r="F52" i="8"/>
  <c r="E266" i="8"/>
  <c r="E277" i="8"/>
  <c r="F58" i="8"/>
  <c r="E265" i="8"/>
  <c r="F62" i="8"/>
  <c r="E356" i="8"/>
  <c r="E50" i="8"/>
  <c r="E99" i="8"/>
  <c r="G41" i="8"/>
  <c r="E258" i="8"/>
  <c r="E269" i="8"/>
  <c r="G55" i="8"/>
  <c r="E257" i="8"/>
  <c r="G59" i="8"/>
  <c r="E58" i="8"/>
  <c r="F18" i="8"/>
  <c r="F24" i="8"/>
  <c r="E218" i="8"/>
  <c r="G62" i="8"/>
  <c r="E67" i="8"/>
  <c r="E272" i="8"/>
  <c r="E104" i="8"/>
  <c r="G24" i="8"/>
  <c r="E142" i="8"/>
  <c r="E214" i="8"/>
  <c r="E15" i="8"/>
  <c r="E19" i="8"/>
  <c r="E332" i="8"/>
  <c r="E48" i="8"/>
  <c r="E159" i="8"/>
  <c r="F36" i="8"/>
  <c r="E250" i="8"/>
  <c r="E261" i="8"/>
  <c r="E53" i="8"/>
  <c r="E241" i="8"/>
  <c r="E57" i="8"/>
  <c r="F63" i="8"/>
  <c r="G25" i="8"/>
  <c r="E21" i="8"/>
  <c r="E210" i="8"/>
  <c r="E60" i="8"/>
  <c r="F56" i="8"/>
  <c r="E262" i="8"/>
  <c r="E96" i="8"/>
  <c r="E22" i="8"/>
  <c r="E190" i="8"/>
  <c r="E182" i="8"/>
  <c r="E352" i="8"/>
  <c r="G53" i="8"/>
  <c r="E324" i="8"/>
  <c r="E288" i="8"/>
  <c r="F21" i="8"/>
  <c r="E287" i="8"/>
  <c r="E25" i="8"/>
  <c r="E275" i="8"/>
  <c r="E205" i="8"/>
  <c r="E45" i="8"/>
  <c r="E217" i="8"/>
  <c r="E41" i="8"/>
  <c r="E108" i="8"/>
  <c r="E83" i="8"/>
  <c r="F10" i="8"/>
  <c r="E186" i="8"/>
  <c r="E52" i="8"/>
  <c r="E33" i="8"/>
  <c r="E232" i="8"/>
  <c r="E72" i="8"/>
  <c r="E14" i="8"/>
  <c r="E198" i="8"/>
  <c r="G14" i="8"/>
  <c r="E317" i="8"/>
  <c r="F6" i="8"/>
  <c r="E227" i="8"/>
  <c r="M14" i="8"/>
  <c r="B36" i="1"/>
  <c r="E33" i="7" s="1"/>
  <c r="B53" i="1"/>
  <c r="A37" i="7" s="1"/>
  <c r="H126" i="8"/>
  <c r="H190" i="8"/>
  <c r="I57" i="8"/>
  <c r="H215" i="8"/>
  <c r="I54" i="8"/>
  <c r="H65" i="8"/>
  <c r="I51" i="8"/>
  <c r="H297" i="8"/>
  <c r="H132" i="8"/>
  <c r="K134" i="8"/>
  <c r="K205" i="8"/>
  <c r="K300" i="8"/>
  <c r="M40" i="8"/>
  <c r="K80" i="8"/>
  <c r="I38" i="8"/>
  <c r="H240" i="8"/>
  <c r="H95" i="8"/>
  <c r="H194" i="8"/>
  <c r="H112" i="8"/>
  <c r="K57" i="8"/>
  <c r="H113" i="8"/>
  <c r="H14" i="8"/>
  <c r="H254" i="8"/>
  <c r="H161" i="8"/>
  <c r="H275" i="8"/>
  <c r="H84" i="8"/>
  <c r="H274" i="8"/>
  <c r="H353" i="8"/>
  <c r="H341" i="8"/>
  <c r="H24" i="8"/>
  <c r="H178" i="8"/>
  <c r="K224" i="8"/>
  <c r="K328" i="8"/>
  <c r="M5" i="8"/>
  <c r="M34" i="8"/>
  <c r="K85" i="8"/>
  <c r="M27" i="8"/>
  <c r="L60" i="8"/>
  <c r="K74" i="8"/>
  <c r="K69" i="8"/>
  <c r="K243" i="8"/>
  <c r="K192" i="8"/>
  <c r="G28" i="8"/>
  <c r="J16" i="8"/>
  <c r="I49" i="8"/>
  <c r="H48" i="8"/>
  <c r="J48" i="8"/>
  <c r="H19" i="8"/>
  <c r="H243" i="8"/>
  <c r="H221" i="8"/>
  <c r="K77" i="8"/>
  <c r="H134" i="8"/>
  <c r="H45" i="8"/>
  <c r="H7" i="8"/>
  <c r="H303" i="8"/>
  <c r="H39" i="8"/>
  <c r="H244" i="8"/>
  <c r="H307" i="8"/>
  <c r="H20" i="8"/>
  <c r="H296" i="8"/>
  <c r="H40" i="8"/>
  <c r="H222" i="8"/>
  <c r="K144" i="8"/>
  <c r="K217" i="8"/>
  <c r="K317" i="8"/>
  <c r="K184" i="8"/>
  <c r="K296" i="8"/>
  <c r="K120" i="8"/>
  <c r="K293" i="8"/>
  <c r="K101" i="8"/>
  <c r="K133" i="8"/>
  <c r="K275" i="8"/>
  <c r="K194" i="8"/>
  <c r="C23" i="1"/>
  <c r="I36" i="8"/>
  <c r="H298" i="8"/>
  <c r="H25" i="8"/>
  <c r="H17" i="8"/>
  <c r="K336" i="8"/>
  <c r="H360" i="8"/>
  <c r="H159" i="8"/>
  <c r="I60" i="8"/>
  <c r="H356" i="8"/>
  <c r="H83" i="8"/>
  <c r="H276" i="8"/>
  <c r="H347" i="8"/>
  <c r="H11" i="8"/>
  <c r="H320" i="8"/>
  <c r="J58" i="8"/>
  <c r="H268" i="8"/>
  <c r="K106" i="8"/>
  <c r="M55" i="8"/>
  <c r="K150" i="8"/>
  <c r="K322" i="8"/>
  <c r="K253" i="8"/>
  <c r="L53" i="8"/>
  <c r="M26" i="8"/>
  <c r="K160" i="8"/>
  <c r="K240" i="8"/>
  <c r="K291" i="8"/>
  <c r="K264" i="8"/>
  <c r="H197" i="8"/>
  <c r="H182" i="8"/>
  <c r="H260" i="8"/>
  <c r="H326" i="8"/>
  <c r="J38" i="8"/>
  <c r="J30" i="8"/>
  <c r="I53" i="8"/>
  <c r="I20" i="8"/>
  <c r="I61" i="8"/>
  <c r="H44" i="8"/>
  <c r="H138" i="8"/>
  <c r="I24" i="8"/>
  <c r="I23" i="8"/>
  <c r="H186" i="8"/>
  <c r="H291" i="8"/>
  <c r="K325" i="8"/>
  <c r="L54" i="8"/>
  <c r="K114" i="8"/>
  <c r="K53" i="8"/>
  <c r="K178" i="8"/>
  <c r="K352" i="8"/>
  <c r="K130" i="8"/>
  <c r="K186" i="8"/>
  <c r="L25" i="8"/>
  <c r="K103" i="8"/>
  <c r="K45" i="8"/>
  <c r="H329" i="8"/>
  <c r="H172" i="8"/>
  <c r="H86" i="8"/>
  <c r="H236" i="8"/>
  <c r="H343" i="8"/>
  <c r="H304" i="8"/>
  <c r="H5" i="8"/>
  <c r="B49" i="1"/>
  <c r="I31" i="8"/>
  <c r="H16" i="8"/>
  <c r="J25" i="8"/>
  <c r="H164" i="8"/>
  <c r="H23" i="8"/>
  <c r="H256" i="8"/>
  <c r="H199" i="8"/>
  <c r="H176" i="8"/>
  <c r="H160" i="8"/>
  <c r="H29" i="8"/>
  <c r="H201" i="8"/>
  <c r="I40" i="8"/>
  <c r="J44" i="8"/>
  <c r="H230" i="8"/>
  <c r="J62" i="8"/>
  <c r="K282" i="8"/>
  <c r="M49" i="8"/>
  <c r="K33" i="8"/>
  <c r="K113" i="8"/>
  <c r="M25" i="8"/>
  <c r="K126" i="8"/>
  <c r="K158" i="8"/>
  <c r="K297" i="8"/>
  <c r="L46" i="8"/>
  <c r="K119" i="8"/>
  <c r="K148" i="8"/>
  <c r="H131" i="8"/>
  <c r="H129" i="8"/>
  <c r="H67" i="8"/>
  <c r="H102" i="8"/>
  <c r="H280" i="8"/>
  <c r="J53" i="8"/>
  <c r="H251" i="8"/>
  <c r="H90" i="8"/>
  <c r="K200" i="8"/>
  <c r="K49" i="8"/>
  <c r="L50" i="8"/>
  <c r="K309" i="8"/>
  <c r="M7" i="8"/>
  <c r="L18" i="8"/>
  <c r="K188" i="8"/>
  <c r="K324" i="8"/>
  <c r="K244" i="8"/>
  <c r="K183" i="8"/>
  <c r="L10" i="8"/>
  <c r="I39" i="8"/>
  <c r="H228" i="8"/>
  <c r="J28" i="8"/>
  <c r="H346" i="8"/>
  <c r="H249" i="8"/>
  <c r="H278" i="8"/>
  <c r="L61" i="8"/>
  <c r="L16" i="8"/>
  <c r="K171" i="8"/>
  <c r="K333" i="8"/>
  <c r="M31" i="8"/>
  <c r="K216" i="8"/>
  <c r="K34" i="8"/>
  <c r="K265" i="8"/>
  <c r="K199" i="8"/>
  <c r="K212" i="8"/>
  <c r="B48" i="1"/>
  <c r="D38" i="7" s="1"/>
  <c r="H183" i="8"/>
  <c r="H325" i="8"/>
  <c r="H81" i="8"/>
  <c r="H137" i="8"/>
  <c r="H235" i="8"/>
  <c r="I56" i="8"/>
  <c r="I28" i="8"/>
  <c r="H354" i="8"/>
  <c r="H9" i="8"/>
  <c r="H198" i="8"/>
  <c r="H293" i="8"/>
  <c r="H163" i="8"/>
  <c r="H109" i="8"/>
  <c r="H306" i="8"/>
  <c r="H154" i="8"/>
  <c r="M18" i="8"/>
  <c r="K343" i="8"/>
  <c r="K209" i="8"/>
  <c r="K131" i="8"/>
  <c r="K290" i="8"/>
  <c r="L33" i="8"/>
  <c r="L8" i="8"/>
  <c r="K44" i="8"/>
  <c r="K286" i="8"/>
  <c r="L27" i="8"/>
  <c r="K149" i="8"/>
  <c r="E158" i="8"/>
  <c r="H202" i="8"/>
  <c r="H121" i="8"/>
  <c r="H224" i="8"/>
  <c r="H151" i="8"/>
  <c r="I63" i="8"/>
  <c r="H26" i="8"/>
  <c r="H330" i="8"/>
  <c r="H267" i="8"/>
  <c r="I45" i="8"/>
  <c r="J31" i="8"/>
  <c r="H264" i="8"/>
  <c r="H92" i="8"/>
  <c r="H302" i="8"/>
  <c r="J54" i="8"/>
  <c r="J29" i="8"/>
  <c r="H8" i="8"/>
  <c r="H10" i="8"/>
  <c r="H165" i="8"/>
  <c r="H119" i="8"/>
  <c r="J55" i="8"/>
  <c r="H122" i="8"/>
  <c r="M36" i="8"/>
  <c r="J22" i="8"/>
  <c r="H241" i="8"/>
  <c r="K198" i="8"/>
  <c r="J18" i="8"/>
  <c r="H351" i="8"/>
  <c r="H30" i="8"/>
  <c r="H259" i="8"/>
  <c r="I32" i="8"/>
  <c r="H89" i="8"/>
  <c r="H272" i="8"/>
  <c r="H313" i="8"/>
  <c r="J40" i="8"/>
  <c r="J50" i="8"/>
  <c r="H338" i="8"/>
  <c r="H180" i="8"/>
  <c r="E105" i="8"/>
  <c r="E29" i="8"/>
  <c r="E213" i="8"/>
  <c r="K348" i="8"/>
  <c r="K303" i="8"/>
  <c r="K173" i="8"/>
  <c r="K335" i="8"/>
  <c r="K256" i="8"/>
  <c r="K39" i="8"/>
  <c r="L37" i="8"/>
  <c r="K123" i="8"/>
  <c r="K350" i="8"/>
  <c r="L59" i="8"/>
  <c r="M32" i="8"/>
  <c r="E314" i="8"/>
  <c r="E333" i="8"/>
  <c r="E166" i="8"/>
  <c r="B33" i="1"/>
  <c r="E32" i="7" s="1"/>
  <c r="B43" i="1"/>
  <c r="N234" i="8"/>
  <c r="N254" i="8"/>
  <c r="N145" i="8"/>
  <c r="O38" i="8"/>
  <c r="N82" i="8"/>
  <c r="N217" i="8"/>
  <c r="P57" i="8"/>
  <c r="N86" i="8"/>
  <c r="O17" i="8"/>
  <c r="N223" i="8"/>
  <c r="N35" i="8"/>
  <c r="P36" i="8"/>
  <c r="N294" i="8"/>
  <c r="N83" i="8"/>
  <c r="O63" i="8"/>
  <c r="N11" i="8"/>
  <c r="N27" i="8"/>
  <c r="N321" i="8"/>
  <c r="O34" i="8"/>
  <c r="N317" i="8"/>
  <c r="P31" i="8"/>
  <c r="N329" i="8"/>
  <c r="O48" i="8"/>
  <c r="N341" i="8"/>
  <c r="N348" i="8"/>
  <c r="N246" i="8"/>
  <c r="N129" i="8"/>
  <c r="N33" i="8"/>
  <c r="N361" i="8"/>
  <c r="N197" i="8"/>
  <c r="O50" i="8"/>
  <c r="N66" i="8"/>
  <c r="N12" i="8"/>
  <c r="N193" i="8"/>
  <c r="O26" i="8"/>
  <c r="O29" i="8"/>
  <c r="N275" i="8"/>
  <c r="P61" i="8"/>
  <c r="N56" i="8"/>
  <c r="P5" i="8"/>
  <c r="N152" i="8"/>
  <c r="N343" i="8"/>
  <c r="N242" i="8"/>
  <c r="N121" i="8"/>
  <c r="O30" i="8"/>
  <c r="N362" i="8"/>
  <c r="N185" i="8"/>
  <c r="N47" i="8"/>
  <c r="P62" i="8"/>
  <c r="O9" i="8"/>
  <c r="N181" i="8"/>
  <c r="N224" i="8"/>
  <c r="N26" i="8"/>
  <c r="N266" i="8"/>
  <c r="O56" i="8"/>
  <c r="P52" i="8"/>
  <c r="N354" i="8"/>
  <c r="N124" i="8"/>
  <c r="N273" i="8"/>
  <c r="N144" i="8"/>
  <c r="N269" i="8"/>
  <c r="N136" i="8"/>
  <c r="N281" i="8"/>
  <c r="N220" i="8"/>
  <c r="N293" i="8"/>
  <c r="N344" i="8"/>
  <c r="N295" i="8"/>
  <c r="N171" i="8"/>
  <c r="P59" i="8"/>
  <c r="N146" i="8"/>
  <c r="N276" i="8"/>
  <c r="N127" i="8"/>
  <c r="N188" i="8"/>
  <c r="P38" i="8"/>
  <c r="N299" i="8"/>
  <c r="N91" i="8"/>
  <c r="P64" i="8"/>
  <c r="O12" i="8"/>
  <c r="N159" i="8"/>
  <c r="N180" i="8"/>
  <c r="P20" i="8"/>
  <c r="N206" i="8"/>
  <c r="N16" i="8"/>
  <c r="N161" i="8"/>
  <c r="O21" i="8"/>
  <c r="N157" i="8"/>
  <c r="O19" i="8"/>
  <c r="N205" i="8"/>
  <c r="N32" i="8"/>
  <c r="B23" i="1"/>
  <c r="E17" i="1"/>
  <c r="E15" i="1"/>
  <c r="D19" i="1"/>
  <c r="E19" i="1"/>
  <c r="D17" i="1"/>
  <c r="E21" i="1"/>
  <c r="D16" i="1"/>
  <c r="D21" i="1"/>
  <c r="E16" i="1"/>
  <c r="E20" i="1"/>
  <c r="B3" i="1"/>
  <c r="B25" i="1" s="1"/>
  <c r="D18" i="1"/>
  <c r="D22" i="1"/>
  <c r="D20" i="1"/>
  <c r="E14" i="1"/>
  <c r="E23" i="1" s="1"/>
  <c r="E23" i="7" s="1"/>
  <c r="D14" i="1"/>
  <c r="D23" i="1" s="1"/>
  <c r="D23" i="7" s="1"/>
  <c r="E18" i="1"/>
  <c r="D15" i="1"/>
  <c r="E22" i="1"/>
  <c r="D36" i="7"/>
  <c r="L12" i="6"/>
  <c r="K12" i="6"/>
  <c r="M13" i="6"/>
  <c r="R13" i="6"/>
  <c r="Q13" i="6"/>
  <c r="H9" i="6"/>
  <c r="N13" i="6"/>
  <c r="O13" i="6"/>
  <c r="L9" i="6"/>
  <c r="P13" i="6"/>
  <c r="P9" i="6"/>
  <c r="N9" i="6"/>
  <c r="M9" i="6"/>
  <c r="O9" i="6"/>
  <c r="R9" i="6"/>
  <c r="I9" i="6"/>
  <c r="J9" i="6"/>
  <c r="V19" i="6" l="1"/>
  <c r="Y19" i="6"/>
  <c r="AA19" i="6"/>
  <c r="W19" i="6"/>
  <c r="X19" i="6"/>
  <c r="Z19" i="6"/>
  <c r="B52" i="1"/>
  <c r="D40" i="7" s="1"/>
  <c r="C25" i="1"/>
  <c r="B50" i="1"/>
  <c r="E36" i="7" s="1"/>
  <c r="Y17" i="6"/>
  <c r="Z17" i="6"/>
  <c r="V17" i="6"/>
  <c r="AA17" i="6"/>
  <c r="W17" i="6"/>
  <c r="X17" i="6"/>
  <c r="B51" i="1"/>
  <c r="E38" i="7" s="1"/>
</calcChain>
</file>

<file path=xl/sharedStrings.xml><?xml version="1.0" encoding="utf-8"?>
<sst xmlns="http://schemas.openxmlformats.org/spreadsheetml/2006/main" count="251" uniqueCount="200">
  <si>
    <t>一部繰上償還額（毎月償還部分）</t>
    <rPh sb="0" eb="2">
      <t>イチブ</t>
    </rPh>
    <rPh sb="2" eb="4">
      <t>クリアゲ</t>
    </rPh>
    <rPh sb="4" eb="7">
      <t>ショウカンガク</t>
    </rPh>
    <rPh sb="8" eb="10">
      <t>マイツキ</t>
    </rPh>
    <rPh sb="10" eb="12">
      <t>ショウカン</t>
    </rPh>
    <rPh sb="12" eb="14">
      <t>ブブン</t>
    </rPh>
    <phoneticPr fontId="2"/>
  </si>
  <si>
    <t>一部繰上償還額（ボーナス償還部分）</t>
    <rPh sb="0" eb="2">
      <t>イチブ</t>
    </rPh>
    <rPh sb="2" eb="4">
      <t>クリアゲ</t>
    </rPh>
    <rPh sb="4" eb="7">
      <t>ショウカンガク</t>
    </rPh>
    <phoneticPr fontId="2"/>
  </si>
  <si>
    <t>ボーナスあるか（有１　無０）</t>
    <rPh sb="8" eb="9">
      <t>ア</t>
    </rPh>
    <rPh sb="11" eb="12">
      <t>ナ</t>
    </rPh>
    <phoneticPr fontId="2"/>
  </si>
  <si>
    <t>回数</t>
  </si>
  <si>
    <t>1･7貸付月</t>
    <rPh sb="3" eb="5">
      <t>カシツケ</t>
    </rPh>
    <rPh sb="5" eb="6">
      <t>ツキ</t>
    </rPh>
    <phoneticPr fontId="2"/>
  </si>
  <si>
    <t>12･6貸付月</t>
    <rPh sb="4" eb="6">
      <t>カシツケ</t>
    </rPh>
    <rPh sb="6" eb="7">
      <t>ツキ</t>
    </rPh>
    <phoneticPr fontId="2"/>
  </si>
  <si>
    <t>平成１９年４月１日以降の貸付か？</t>
    <rPh sb="0" eb="2">
      <t>ヘイセイ</t>
    </rPh>
    <rPh sb="4" eb="5">
      <t>ネン</t>
    </rPh>
    <rPh sb="6" eb="7">
      <t>ガツ</t>
    </rPh>
    <rPh sb="8" eb="9">
      <t>ニチ</t>
    </rPh>
    <rPh sb="9" eb="11">
      <t>イコウ</t>
    </rPh>
    <rPh sb="12" eb="14">
      <t>カシツケ</t>
    </rPh>
    <phoneticPr fontId="2"/>
  </si>
  <si>
    <t>希望する償還回数（毎月償還部分）</t>
    <rPh sb="0" eb="2">
      <t>キボウ</t>
    </rPh>
    <rPh sb="4" eb="6">
      <t>ショウカン</t>
    </rPh>
    <rPh sb="6" eb="8">
      <t>カイスウ</t>
    </rPh>
    <phoneticPr fontId="2"/>
  </si>
  <si>
    <t>希望する償還回数（ボーナス償還部分）</t>
    <rPh sb="0" eb="2">
      <t>キボウ</t>
    </rPh>
    <rPh sb="4" eb="6">
      <t>ショウカン</t>
    </rPh>
    <rPh sb="6" eb="8">
      <t>カイスウ</t>
    </rPh>
    <phoneticPr fontId="2"/>
  </si>
  <si>
    <t>一部繰上償還後の毎月償還額</t>
    <rPh sb="0" eb="2">
      <t>イチブ</t>
    </rPh>
    <rPh sb="2" eb="4">
      <t>クリアゲ</t>
    </rPh>
    <rPh sb="4" eb="7">
      <t>ショウカンゴ</t>
    </rPh>
    <rPh sb="8" eb="10">
      <t>マイツキ</t>
    </rPh>
    <rPh sb="10" eb="13">
      <t>ショウカンガク</t>
    </rPh>
    <phoneticPr fontId="2"/>
  </si>
  <si>
    <t>一 部 繰 上 償 還 申 出 書</t>
    <phoneticPr fontId="2"/>
  </si>
  <si>
    <t>共済</t>
    <rPh sb="0" eb="2">
      <t>キョウサイ</t>
    </rPh>
    <phoneticPr fontId="2"/>
  </si>
  <si>
    <t>カードNo.</t>
    <phoneticPr fontId="2"/>
  </si>
  <si>
    <t>所属所コード</t>
    <rPh sb="0" eb="2">
      <t>ショゾク</t>
    </rPh>
    <rPh sb="2" eb="3">
      <t>ショ</t>
    </rPh>
    <phoneticPr fontId="2"/>
  </si>
  <si>
    <t>組合員証番号</t>
    <rPh sb="0" eb="2">
      <t>クミアイ</t>
    </rPh>
    <rPh sb="2" eb="3">
      <t>イン</t>
    </rPh>
    <rPh sb="3" eb="4">
      <t>ショウ</t>
    </rPh>
    <rPh sb="4" eb="6">
      <t>バンゴウ</t>
    </rPh>
    <phoneticPr fontId="2"/>
  </si>
  <si>
    <t>一部繰上償還する貸付種別</t>
    <rPh sb="0" eb="2">
      <t>イチブ</t>
    </rPh>
    <rPh sb="2" eb="4">
      <t>クリアゲ</t>
    </rPh>
    <rPh sb="4" eb="6">
      <t>ショウカン</t>
    </rPh>
    <rPh sb="8" eb="10">
      <t>カシツケ</t>
    </rPh>
    <rPh sb="10" eb="12">
      <t>シュベツ</t>
    </rPh>
    <phoneticPr fontId="2"/>
  </si>
  <si>
    <t>種別</t>
    <rPh sb="0" eb="2">
      <t>シュベツ</t>
    </rPh>
    <phoneticPr fontId="2"/>
  </si>
  <si>
    <t>貸付番号</t>
    <rPh sb="0" eb="2">
      <t>カシツケ</t>
    </rPh>
    <rPh sb="2" eb="4">
      <t>バンゴウ</t>
    </rPh>
    <phoneticPr fontId="2"/>
  </si>
  <si>
    <t>11一般　　21住宅災害　　31住宅　　</t>
    <rPh sb="2" eb="4">
      <t>イッパン</t>
    </rPh>
    <rPh sb="8" eb="10">
      <t>ジュウタク</t>
    </rPh>
    <rPh sb="10" eb="12">
      <t>サイガイ</t>
    </rPh>
    <rPh sb="16" eb="18">
      <t>ジュウタク</t>
    </rPh>
    <phoneticPr fontId="2"/>
  </si>
  <si>
    <t>41教育　　51災害　　61医療</t>
    <rPh sb="2" eb="4">
      <t>キョウイク</t>
    </rPh>
    <rPh sb="8" eb="10">
      <t>サイガイ</t>
    </rPh>
    <rPh sb="14" eb="16">
      <t>イリョウ</t>
    </rPh>
    <phoneticPr fontId="2"/>
  </si>
  <si>
    <t>71結婚　　72葬祭　　81介護構造</t>
    <rPh sb="2" eb="4">
      <t>ケッコン</t>
    </rPh>
    <rPh sb="8" eb="10">
      <t>ソウサイ</t>
    </rPh>
    <rPh sb="14" eb="16">
      <t>カイゴ</t>
    </rPh>
    <rPh sb="16" eb="18">
      <t>コウゾウ</t>
    </rPh>
    <phoneticPr fontId="2"/>
  </si>
  <si>
    <t>区分</t>
    <rPh sb="0" eb="2">
      <t>クブン</t>
    </rPh>
    <phoneticPr fontId="2"/>
  </si>
  <si>
    <t>一部繰上償還額</t>
    <rPh sb="0" eb="2">
      <t>イチブ</t>
    </rPh>
    <rPh sb="2" eb="4">
      <t>クリアゲ</t>
    </rPh>
    <rPh sb="4" eb="6">
      <t>ショウカン</t>
    </rPh>
    <rPh sb="6" eb="7">
      <t>ガク</t>
    </rPh>
    <phoneticPr fontId="2"/>
  </si>
  <si>
    <t>一部繰上償還額後の償還方法</t>
    <rPh sb="0" eb="2">
      <t>イチブ</t>
    </rPh>
    <rPh sb="2" eb="4">
      <t>クリアゲ</t>
    </rPh>
    <rPh sb="4" eb="6">
      <t>ショウカン</t>
    </rPh>
    <rPh sb="6" eb="7">
      <t>ガク</t>
    </rPh>
    <rPh sb="7" eb="8">
      <t>ゴ</t>
    </rPh>
    <rPh sb="9" eb="11">
      <t>ショウカン</t>
    </rPh>
    <rPh sb="11" eb="13">
      <t>ホウホウ</t>
    </rPh>
    <phoneticPr fontId="2"/>
  </si>
  <si>
    <t>未償還回数</t>
    <rPh sb="0" eb="3">
      <t>ミショウカン</t>
    </rPh>
    <rPh sb="3" eb="5">
      <t>カイスウ</t>
    </rPh>
    <phoneticPr fontId="2"/>
  </si>
  <si>
    <t>未償還元金</t>
    <rPh sb="0" eb="3">
      <t>ミショウカン</t>
    </rPh>
    <rPh sb="3" eb="5">
      <t>ガンキン</t>
    </rPh>
    <phoneticPr fontId="2"/>
  </si>
  <si>
    <t>（未償還元金取崩額）</t>
    <rPh sb="1" eb="4">
      <t>ミショウカン</t>
    </rPh>
    <rPh sb="4" eb="6">
      <t>ガンキン</t>
    </rPh>
    <rPh sb="6" eb="7">
      <t>ト</t>
    </rPh>
    <rPh sb="7" eb="8">
      <t>クズ</t>
    </rPh>
    <rPh sb="8" eb="9">
      <t>ガク</t>
    </rPh>
    <phoneticPr fontId="2"/>
  </si>
  <si>
    <t>回数</t>
    <rPh sb="0" eb="2">
      <t>カイスウ</t>
    </rPh>
    <phoneticPr fontId="2"/>
  </si>
  <si>
    <t>一回の償還額</t>
    <rPh sb="0" eb="2">
      <t>イッカイ</t>
    </rPh>
    <rPh sb="3" eb="6">
      <t>ショウカンガク</t>
    </rPh>
    <phoneticPr fontId="2"/>
  </si>
  <si>
    <t>毎月償還</t>
    <rPh sb="0" eb="2">
      <t>マイツキ</t>
    </rPh>
    <rPh sb="2" eb="4">
      <t>ショウカン</t>
    </rPh>
    <phoneticPr fontId="2"/>
  </si>
  <si>
    <t>ボーナス償還</t>
    <rPh sb="4" eb="6">
      <t>ショウカン</t>
    </rPh>
    <phoneticPr fontId="2"/>
  </si>
  <si>
    <t>※給料月額</t>
    <rPh sb="1" eb="3">
      <t>キュウリョウ</t>
    </rPh>
    <rPh sb="3" eb="5">
      <t>ゲツガク</t>
    </rPh>
    <phoneticPr fontId="2"/>
  </si>
  <si>
    <t>※No.</t>
    <phoneticPr fontId="2"/>
  </si>
  <si>
    <t>※印欄は記入しないこと</t>
    <rPh sb="1" eb="2">
      <t>イン</t>
    </rPh>
    <rPh sb="2" eb="3">
      <t>ラン</t>
    </rPh>
    <rPh sb="4" eb="6">
      <t>キニュウ</t>
    </rPh>
    <phoneticPr fontId="2"/>
  </si>
  <si>
    <t>給料月額</t>
    <rPh sb="0" eb="2">
      <t>キュウリョウ</t>
    </rPh>
    <rPh sb="2" eb="4">
      <t>ゲツガク</t>
    </rPh>
    <phoneticPr fontId="2"/>
  </si>
  <si>
    <t>円</t>
    <rPh sb="0" eb="1">
      <t>エン</t>
    </rPh>
    <phoneticPr fontId="2"/>
  </si>
  <si>
    <t>貸付種別</t>
    <rPh sb="0" eb="2">
      <t>カシツケ</t>
    </rPh>
    <rPh sb="2" eb="4">
      <t>シュベツ</t>
    </rPh>
    <phoneticPr fontId="2"/>
  </si>
  <si>
    <t>一般貸付</t>
    <rPh sb="0" eb="2">
      <t>イッパン</t>
    </rPh>
    <rPh sb="2" eb="4">
      <t>カシツケ</t>
    </rPh>
    <phoneticPr fontId="2"/>
  </si>
  <si>
    <t>住宅災害貸付</t>
    <rPh sb="0" eb="2">
      <t>ジュウタク</t>
    </rPh>
    <rPh sb="2" eb="4">
      <t>サイガイ</t>
    </rPh>
    <rPh sb="4" eb="6">
      <t>カシツケ</t>
    </rPh>
    <phoneticPr fontId="2"/>
  </si>
  <si>
    <t>住宅貸付</t>
    <rPh sb="0" eb="2">
      <t>ジュウタク</t>
    </rPh>
    <rPh sb="2" eb="4">
      <t>カシツケ</t>
    </rPh>
    <phoneticPr fontId="2"/>
  </si>
  <si>
    <t>介護構造貸付</t>
    <rPh sb="0" eb="2">
      <t>カイゴ</t>
    </rPh>
    <rPh sb="2" eb="4">
      <t>コウゾウ</t>
    </rPh>
    <rPh sb="4" eb="6">
      <t>カシツケ</t>
    </rPh>
    <phoneticPr fontId="2"/>
  </si>
  <si>
    <t>教育貸付</t>
    <rPh sb="0" eb="2">
      <t>キョウイク</t>
    </rPh>
    <rPh sb="2" eb="4">
      <t>カシツケ</t>
    </rPh>
    <phoneticPr fontId="2"/>
  </si>
  <si>
    <t>災害貸付</t>
    <rPh sb="0" eb="2">
      <t>サイガイ</t>
    </rPh>
    <rPh sb="2" eb="4">
      <t>カシツケ</t>
    </rPh>
    <phoneticPr fontId="2"/>
  </si>
  <si>
    <t>医療貸付</t>
    <rPh sb="0" eb="2">
      <t>イリョウ</t>
    </rPh>
    <rPh sb="2" eb="4">
      <t>カシツケ</t>
    </rPh>
    <phoneticPr fontId="2"/>
  </si>
  <si>
    <t>結婚貸付</t>
    <rPh sb="0" eb="2">
      <t>ケッコン</t>
    </rPh>
    <rPh sb="2" eb="4">
      <t>カシツケ</t>
    </rPh>
    <phoneticPr fontId="2"/>
  </si>
  <si>
    <t>葬祭貸付</t>
    <rPh sb="0" eb="2">
      <t>ソウサイ</t>
    </rPh>
    <rPh sb="2" eb="4">
      <t>カシツケ</t>
    </rPh>
    <phoneticPr fontId="2"/>
  </si>
  <si>
    <t>合計</t>
    <rPh sb="0" eb="2">
      <t>ゴウケイ</t>
    </rPh>
    <phoneticPr fontId="2"/>
  </si>
  <si>
    <t>後の償還回数を上記のとおりにしたいので申し出ます。</t>
    <rPh sb="0" eb="1">
      <t>ゴ</t>
    </rPh>
    <rPh sb="2" eb="4">
      <t>ショウカン</t>
    </rPh>
    <rPh sb="4" eb="6">
      <t>カイスウ</t>
    </rPh>
    <rPh sb="7" eb="9">
      <t>ジョウキ</t>
    </rPh>
    <rPh sb="19" eb="20">
      <t>モウ</t>
    </rPh>
    <rPh sb="21" eb="22">
      <t>デ</t>
    </rPh>
    <phoneticPr fontId="2"/>
  </si>
  <si>
    <t>公立学校共済組合岡山支部長　殿</t>
    <rPh sb="0" eb="2">
      <t>コウリツ</t>
    </rPh>
    <rPh sb="2" eb="4">
      <t>ガッコウ</t>
    </rPh>
    <rPh sb="4" eb="6">
      <t>キョウサイ</t>
    </rPh>
    <rPh sb="6" eb="8">
      <t>クミアイ</t>
    </rPh>
    <rPh sb="8" eb="10">
      <t>オカヤマ</t>
    </rPh>
    <rPh sb="10" eb="13">
      <t>シブチョウ</t>
    </rPh>
    <rPh sb="14" eb="15">
      <t>ドノ</t>
    </rPh>
    <phoneticPr fontId="2"/>
  </si>
  <si>
    <t>　　　　現住所   　　　　　　　　　　　　　　　　　　　　　　　　　　　　　電話番号（          ）        －</t>
    <rPh sb="4" eb="7">
      <t>ゲンジュウショ</t>
    </rPh>
    <rPh sb="39" eb="41">
      <t>デンワ</t>
    </rPh>
    <rPh sb="41" eb="43">
      <t>バンゴウ</t>
    </rPh>
    <phoneticPr fontId="2"/>
  </si>
  <si>
    <t>　　　　職　 名</t>
    <rPh sb="4" eb="5">
      <t>ショク</t>
    </rPh>
    <rPh sb="7" eb="8">
      <t>メイ</t>
    </rPh>
    <phoneticPr fontId="2"/>
  </si>
  <si>
    <t>一般・住宅・教育・結婚・医療・葬祭</t>
    <rPh sb="0" eb="2">
      <t>イッパン</t>
    </rPh>
    <rPh sb="3" eb="5">
      <t>ジュウタク</t>
    </rPh>
    <rPh sb="6" eb="8">
      <t>キョウイク</t>
    </rPh>
    <rPh sb="9" eb="11">
      <t>ケッコン</t>
    </rPh>
    <rPh sb="12" eb="14">
      <t>イリョウ</t>
    </rPh>
    <rPh sb="15" eb="17">
      <t>ソウサイ</t>
    </rPh>
    <phoneticPr fontId="2"/>
  </si>
  <si>
    <t>住宅災害・災害</t>
    <rPh sb="0" eb="2">
      <t>ジュウタク</t>
    </rPh>
    <rPh sb="2" eb="4">
      <t>サイガイ</t>
    </rPh>
    <rPh sb="5" eb="7">
      <t>サイガイ</t>
    </rPh>
    <phoneticPr fontId="2"/>
  </si>
  <si>
    <t>介護構造</t>
    <rPh sb="0" eb="2">
      <t>カイゴ</t>
    </rPh>
    <rPh sb="2" eb="4">
      <t>コウゾウ</t>
    </rPh>
    <phoneticPr fontId="2"/>
  </si>
  <si>
    <t>賦金率(毎月)</t>
    <rPh sb="4" eb="6">
      <t>マイツキ</t>
    </rPh>
    <phoneticPr fontId="2"/>
  </si>
  <si>
    <t>貸付種別の入力</t>
    <rPh sb="0" eb="2">
      <t>カシツケ</t>
    </rPh>
    <rPh sb="2" eb="4">
      <t>シュベツ</t>
    </rPh>
    <rPh sb="5" eb="7">
      <t>ニュウリョク</t>
    </rPh>
    <phoneticPr fontId="2"/>
  </si>
  <si>
    <t>所属コード</t>
    <rPh sb="0" eb="2">
      <t>ショゾク</t>
    </rPh>
    <phoneticPr fontId="2"/>
  </si>
  <si>
    <t>組合員証番号</t>
    <rPh sb="0" eb="3">
      <t>クミアイイン</t>
    </rPh>
    <rPh sb="3" eb="4">
      <t>アカシ</t>
    </rPh>
    <rPh sb="4" eb="6">
      <t>バンゴウ</t>
    </rPh>
    <phoneticPr fontId="2"/>
  </si>
  <si>
    <t>借受中の貸付金の一回当たりの償還額</t>
    <rPh sb="0" eb="1">
      <t>カ</t>
    </rPh>
    <rPh sb="1" eb="2">
      <t>ウ</t>
    </rPh>
    <rPh sb="2" eb="3">
      <t>チュウ</t>
    </rPh>
    <rPh sb="4" eb="7">
      <t>カシツケキン</t>
    </rPh>
    <rPh sb="8" eb="10">
      <t>イッカイ</t>
    </rPh>
    <rPh sb="10" eb="11">
      <t>ア</t>
    </rPh>
    <rPh sb="14" eb="17">
      <t>ショウカンガク</t>
    </rPh>
    <phoneticPr fontId="2"/>
  </si>
  <si>
    <t>一般</t>
    <rPh sb="0" eb="2">
      <t>イッパン</t>
    </rPh>
    <phoneticPr fontId="2"/>
  </si>
  <si>
    <t>住宅災害</t>
    <rPh sb="0" eb="2">
      <t>ジュウタク</t>
    </rPh>
    <rPh sb="2" eb="4">
      <t>サイガイ</t>
    </rPh>
    <phoneticPr fontId="2"/>
  </si>
  <si>
    <t>住宅</t>
    <rPh sb="0" eb="2">
      <t>ジュウタク</t>
    </rPh>
    <phoneticPr fontId="2"/>
  </si>
  <si>
    <t>介護</t>
    <rPh sb="0" eb="2">
      <t>カイゴ</t>
    </rPh>
    <phoneticPr fontId="2"/>
  </si>
  <si>
    <t>教育</t>
    <rPh sb="0" eb="2">
      <t>キョウイク</t>
    </rPh>
    <phoneticPr fontId="2"/>
  </si>
  <si>
    <t>災害</t>
    <rPh sb="0" eb="2">
      <t>サイガイ</t>
    </rPh>
    <phoneticPr fontId="2"/>
  </si>
  <si>
    <t>医療</t>
    <rPh sb="0" eb="2">
      <t>イリョウ</t>
    </rPh>
    <phoneticPr fontId="2"/>
  </si>
  <si>
    <t>結婚</t>
    <rPh sb="0" eb="2">
      <t>ケッコン</t>
    </rPh>
    <phoneticPr fontId="2"/>
  </si>
  <si>
    <t>葬祭</t>
    <rPh sb="0" eb="2">
      <t>ソウサイ</t>
    </rPh>
    <phoneticPr fontId="2"/>
  </si>
  <si>
    <t>貸付種別の選別</t>
    <rPh sb="0" eb="2">
      <t>カシツケ</t>
    </rPh>
    <rPh sb="2" eb="4">
      <t>シュベツ</t>
    </rPh>
    <rPh sb="5" eb="7">
      <t>センベツ</t>
    </rPh>
    <phoneticPr fontId="2"/>
  </si>
  <si>
    <t>利率改正後の月利の算出</t>
    <rPh sb="0" eb="2">
      <t>リリツ</t>
    </rPh>
    <rPh sb="2" eb="5">
      <t>カイセイゴ</t>
    </rPh>
    <rPh sb="6" eb="8">
      <t>ゲツリ</t>
    </rPh>
    <rPh sb="9" eb="11">
      <t>サンシュツ</t>
    </rPh>
    <phoneticPr fontId="2"/>
  </si>
  <si>
    <t>ﾎﾞｰﾅｽの償還回数の判定</t>
    <rPh sb="6" eb="8">
      <t>ショウカン</t>
    </rPh>
    <rPh sb="8" eb="10">
      <t>カイスウ</t>
    </rPh>
    <rPh sb="11" eb="13">
      <t>ハンテイ</t>
    </rPh>
    <phoneticPr fontId="2"/>
  </si>
  <si>
    <t>一般11</t>
    <rPh sb="0" eb="2">
      <t>イッパン</t>
    </rPh>
    <phoneticPr fontId="2"/>
  </si>
  <si>
    <t>住宅災害21</t>
    <rPh sb="0" eb="2">
      <t>ジュウタク</t>
    </rPh>
    <rPh sb="2" eb="4">
      <t>サイガイ</t>
    </rPh>
    <phoneticPr fontId="2"/>
  </si>
  <si>
    <t>住宅31</t>
    <rPh sb="0" eb="2">
      <t>ジュウタク</t>
    </rPh>
    <phoneticPr fontId="2"/>
  </si>
  <si>
    <t>介護81</t>
    <rPh sb="0" eb="2">
      <t>カイゴ</t>
    </rPh>
    <phoneticPr fontId="2"/>
  </si>
  <si>
    <t>教育41</t>
    <rPh sb="0" eb="2">
      <t>キョウイク</t>
    </rPh>
    <phoneticPr fontId="2"/>
  </si>
  <si>
    <t>災害51</t>
    <rPh sb="0" eb="2">
      <t>サイガイ</t>
    </rPh>
    <phoneticPr fontId="2"/>
  </si>
  <si>
    <t>医療61</t>
    <rPh sb="0" eb="2">
      <t>イリョウ</t>
    </rPh>
    <phoneticPr fontId="2"/>
  </si>
  <si>
    <t>結婚71</t>
    <rPh sb="0" eb="2">
      <t>ケッコン</t>
    </rPh>
    <phoneticPr fontId="2"/>
  </si>
  <si>
    <t>葬祭72</t>
    <rPh sb="0" eb="2">
      <t>ソウサイ</t>
    </rPh>
    <phoneticPr fontId="2"/>
  </si>
  <si>
    <t>給料月額の3/10を判定</t>
    <rPh sb="0" eb="2">
      <t>キュウリョウ</t>
    </rPh>
    <rPh sb="2" eb="4">
      <t>ゲツガク</t>
    </rPh>
    <rPh sb="10" eb="12">
      <t>ハンテイ</t>
    </rPh>
    <phoneticPr fontId="2"/>
  </si>
  <si>
    <t>給料月額の6/10を判定</t>
    <rPh sb="0" eb="2">
      <t>キュウリョウ</t>
    </rPh>
    <rPh sb="2" eb="4">
      <t>ゲツガク</t>
    </rPh>
    <rPh sb="10" eb="12">
      <t>ハンテイ</t>
    </rPh>
    <phoneticPr fontId="2"/>
  </si>
  <si>
    <t>毎月
(入力用)</t>
    <rPh sb="0" eb="2">
      <t>マイツキ</t>
    </rPh>
    <rPh sb="4" eb="6">
      <t>ニュウリョク</t>
    </rPh>
    <rPh sb="6" eb="7">
      <t>ヨウ</t>
    </rPh>
    <phoneticPr fontId="2"/>
  </si>
  <si>
    <t>ボーナス
(入力用)</t>
    <rPh sb="6" eb="9">
      <t>ニュウリョクヨウ</t>
    </rPh>
    <phoneticPr fontId="2"/>
  </si>
  <si>
    <t>毎月
(給料3/10)</t>
    <rPh sb="0" eb="2">
      <t>マイツキ</t>
    </rPh>
    <rPh sb="4" eb="6">
      <t>キュウリョウ</t>
    </rPh>
    <phoneticPr fontId="2"/>
  </si>
  <si>
    <t>ボーナス
(給料6/10)</t>
    <phoneticPr fontId="2"/>
  </si>
  <si>
    <t>借受年月日は平成19年4月1日以降ですか？</t>
    <rPh sb="0" eb="2">
      <t>カリウケ</t>
    </rPh>
    <rPh sb="2" eb="5">
      <t>ネンガッピ</t>
    </rPh>
    <rPh sb="6" eb="8">
      <t>ヘイセイ</t>
    </rPh>
    <rPh sb="10" eb="11">
      <t>ネン</t>
    </rPh>
    <rPh sb="12" eb="13">
      <t>ガツ</t>
    </rPh>
    <rPh sb="14" eb="15">
      <t>ニチ</t>
    </rPh>
    <rPh sb="15" eb="17">
      <t>イコウ</t>
    </rPh>
    <phoneticPr fontId="2"/>
  </si>
  <si>
    <t>一繰償還額（経過利息含む）</t>
    <rPh sb="0" eb="1">
      <t>イチ</t>
    </rPh>
    <rPh sb="1" eb="2">
      <t>ク</t>
    </rPh>
    <rPh sb="2" eb="5">
      <t>ショウカンガク</t>
    </rPh>
    <rPh sb="6" eb="8">
      <t>ケイカ</t>
    </rPh>
    <rPh sb="8" eb="10">
      <t>リソク</t>
    </rPh>
    <rPh sb="10" eb="11">
      <t>フク</t>
    </rPh>
    <phoneticPr fontId="2"/>
  </si>
  <si>
    <t>ボーナスのみ完済時の毎月償還額</t>
    <rPh sb="6" eb="8">
      <t>カンサイ</t>
    </rPh>
    <rPh sb="8" eb="9">
      <t>ジ</t>
    </rPh>
    <rPh sb="10" eb="12">
      <t>マイツキ</t>
    </rPh>
    <rPh sb="12" eb="14">
      <t>ショウカン</t>
    </rPh>
    <rPh sb="14" eb="15">
      <t>ガク</t>
    </rPh>
    <phoneticPr fontId="2"/>
  </si>
  <si>
    <t>再　鑑</t>
    <rPh sb="0" eb="1">
      <t>サイ</t>
    </rPh>
    <rPh sb="2" eb="3">
      <t>カン</t>
    </rPh>
    <phoneticPr fontId="2"/>
  </si>
  <si>
    <t>審　査</t>
    <rPh sb="0" eb="1">
      <t>シン</t>
    </rPh>
    <rPh sb="2" eb="3">
      <t>サ</t>
    </rPh>
    <phoneticPr fontId="2"/>
  </si>
  <si>
    <t>　公立学校共済組合貸付規程第１６条の規程に基づき,借受中の貸付金を一部繰上償還し,繰上償還</t>
    <rPh sb="1" eb="3">
      <t>コウリツ</t>
    </rPh>
    <rPh sb="3" eb="5">
      <t>ガッコウ</t>
    </rPh>
    <rPh sb="5" eb="7">
      <t>キョウサイ</t>
    </rPh>
    <rPh sb="7" eb="9">
      <t>クミアイ</t>
    </rPh>
    <rPh sb="9" eb="11">
      <t>カシツケ</t>
    </rPh>
    <rPh sb="11" eb="13">
      <t>キテイ</t>
    </rPh>
    <rPh sb="13" eb="14">
      <t>ダイ</t>
    </rPh>
    <rPh sb="16" eb="17">
      <t>ジョウ</t>
    </rPh>
    <rPh sb="18" eb="20">
      <t>キテイ</t>
    </rPh>
    <rPh sb="21" eb="22">
      <t>モト</t>
    </rPh>
    <rPh sb="25" eb="27">
      <t>カリウケ</t>
    </rPh>
    <rPh sb="27" eb="28">
      <t>チュウ</t>
    </rPh>
    <rPh sb="29" eb="32">
      <t>カシツケキン</t>
    </rPh>
    <rPh sb="33" eb="35">
      <t>イチブ</t>
    </rPh>
    <rPh sb="35" eb="36">
      <t>ク</t>
    </rPh>
    <rPh sb="36" eb="37">
      <t>ア</t>
    </rPh>
    <rPh sb="37" eb="39">
      <t>ショウカン</t>
    </rPh>
    <rPh sb="41" eb="43">
      <t>クリアゲ</t>
    </rPh>
    <rPh sb="43" eb="45">
      <t>ショウカン</t>
    </rPh>
    <phoneticPr fontId="2"/>
  </si>
  <si>
    <t>　なお、ボーナス償還に係る経過利息および償還猶予額残がある場合は,それを加えて償還します。</t>
    <rPh sb="8" eb="10">
      <t>ショウカン</t>
    </rPh>
    <rPh sb="11" eb="12">
      <t>カカ</t>
    </rPh>
    <rPh sb="13" eb="15">
      <t>ケイカ</t>
    </rPh>
    <rPh sb="15" eb="17">
      <t>リソク</t>
    </rPh>
    <rPh sb="20" eb="22">
      <t>ショウカン</t>
    </rPh>
    <rPh sb="22" eb="24">
      <t>ユウヨ</t>
    </rPh>
    <rPh sb="24" eb="25">
      <t>ガク</t>
    </rPh>
    <rPh sb="25" eb="26">
      <t>ザン</t>
    </rPh>
    <rPh sb="29" eb="31">
      <t>バアイ</t>
    </rPh>
    <rPh sb="36" eb="37">
      <t>クワ</t>
    </rPh>
    <rPh sb="39" eb="41">
      <t>ショウカン</t>
    </rPh>
    <phoneticPr fontId="2"/>
  </si>
  <si>
    <t>⑨</t>
    <phoneticPr fontId="2"/>
  </si>
  <si>
    <t>⑩</t>
    <phoneticPr fontId="2"/>
  </si>
  <si>
    <t>⑪</t>
    <phoneticPr fontId="2"/>
  </si>
  <si>
    <t>⑫</t>
    <phoneticPr fontId="2"/>
  </si>
  <si>
    <t>⑬</t>
    <phoneticPr fontId="2"/>
  </si>
  <si>
    <t>⑭</t>
    <phoneticPr fontId="2"/>
  </si>
  <si>
    <t>⑮</t>
    <phoneticPr fontId="2"/>
  </si>
  <si>
    <t>⑯</t>
    <phoneticPr fontId="2"/>
  </si>
  <si>
    <t>一部繰上償還時　の償還猶予残額</t>
    <rPh sb="0" eb="2">
      <t>イチブ</t>
    </rPh>
    <rPh sb="2" eb="4">
      <t>クリアゲ</t>
    </rPh>
    <rPh sb="4" eb="6">
      <t>ショウカン</t>
    </rPh>
    <rPh sb="6" eb="7">
      <t>ジ</t>
    </rPh>
    <rPh sb="9" eb="11">
      <t>ショウカン</t>
    </rPh>
    <rPh sb="11" eb="13">
      <t>ユウヨ</t>
    </rPh>
    <rPh sb="13" eb="14">
      <t>ザン</t>
    </rPh>
    <rPh sb="14" eb="15">
      <t>ガク</t>
    </rPh>
    <phoneticPr fontId="2"/>
  </si>
  <si>
    <t>一回当たりの償還額  　　　借受中の貸付金の</t>
    <rPh sb="0" eb="2">
      <t>イッカイ</t>
    </rPh>
    <rPh sb="2" eb="3">
      <t>ア</t>
    </rPh>
    <rPh sb="6" eb="8">
      <t>ショウカン</t>
    </rPh>
    <rPh sb="8" eb="9">
      <t>ガク</t>
    </rPh>
    <rPh sb="14" eb="16">
      <t>カリウケ</t>
    </rPh>
    <rPh sb="16" eb="17">
      <t>チュウ</t>
    </rPh>
    <rPh sb="18" eb="21">
      <t>カシツケキン</t>
    </rPh>
    <phoneticPr fontId="2"/>
  </si>
  <si>
    <t>①</t>
    <phoneticPr fontId="2"/>
  </si>
  <si>
    <t>②</t>
    <phoneticPr fontId="2"/>
  </si>
  <si>
    <t>③</t>
    <phoneticPr fontId="2"/>
  </si>
  <si>
    <t>④</t>
    <phoneticPr fontId="2"/>
  </si>
  <si>
    <t>⑤</t>
    <phoneticPr fontId="2"/>
  </si>
  <si>
    <t>⑥</t>
    <phoneticPr fontId="2"/>
  </si>
  <si>
    <t>⑧</t>
    <phoneticPr fontId="2"/>
  </si>
  <si>
    <t>給料の6/10</t>
    <rPh sb="0" eb="2">
      <t>キュウリョウ</t>
    </rPh>
    <phoneticPr fontId="2"/>
  </si>
  <si>
    <t>ボーナス</t>
    <phoneticPr fontId="2"/>
  </si>
  <si>
    <t>毎　月</t>
    <rPh sb="0" eb="1">
      <t>マイ</t>
    </rPh>
    <rPh sb="2" eb="3">
      <t>ツキ</t>
    </rPh>
    <phoneticPr fontId="2"/>
  </si>
  <si>
    <t>給料による制限</t>
    <rPh sb="0" eb="2">
      <t>キュウリョウ</t>
    </rPh>
    <rPh sb="5" eb="7">
      <t>セイゲン</t>
    </rPh>
    <phoneticPr fontId="2"/>
  </si>
  <si>
    <t>償還合計</t>
    <rPh sb="0" eb="2">
      <t>ショウカン</t>
    </rPh>
    <phoneticPr fontId="2"/>
  </si>
  <si>
    <t>一繰後の償還合計</t>
    <rPh sb="4" eb="6">
      <t>ショウカン</t>
    </rPh>
    <phoneticPr fontId="2"/>
  </si>
  <si>
    <t>実際の納付額（ﾎﾞｰﾅｽの経過利息含む）</t>
    <rPh sb="0" eb="2">
      <t>ジッサイ</t>
    </rPh>
    <rPh sb="3" eb="5">
      <t>ノウフ</t>
    </rPh>
    <rPh sb="5" eb="6">
      <t>ガク</t>
    </rPh>
    <rPh sb="13" eb="15">
      <t>ケイカ</t>
    </rPh>
    <rPh sb="15" eb="17">
      <t>リソク</t>
    </rPh>
    <rPh sb="17" eb="18">
      <t>フク</t>
    </rPh>
    <phoneticPr fontId="2"/>
  </si>
  <si>
    <t>⑦</t>
    <phoneticPr fontId="2"/>
  </si>
  <si>
    <t>申出書に記入する一繰後の毎月償還額</t>
    <rPh sb="0" eb="3">
      <t>モウシデショ</t>
    </rPh>
    <rPh sb="4" eb="6">
      <t>キニュウ</t>
    </rPh>
    <rPh sb="8" eb="9">
      <t>イチ</t>
    </rPh>
    <rPh sb="9" eb="10">
      <t>クリ</t>
    </rPh>
    <rPh sb="10" eb="11">
      <t>ゴ</t>
    </rPh>
    <rPh sb="12" eb="14">
      <t>マイツキ</t>
    </rPh>
    <rPh sb="14" eb="17">
      <t>ショウカンガク</t>
    </rPh>
    <phoneticPr fontId="2"/>
  </si>
  <si>
    <t>申出書に記入する一繰後のﾎﾞｰﾅｽ償還額</t>
    <rPh sb="0" eb="3">
      <t>モウシデショ</t>
    </rPh>
    <rPh sb="4" eb="6">
      <t>キニュウ</t>
    </rPh>
    <rPh sb="8" eb="9">
      <t>イチ</t>
    </rPh>
    <rPh sb="9" eb="10">
      <t>クリ</t>
    </rPh>
    <rPh sb="10" eb="11">
      <t>ゴ</t>
    </rPh>
    <rPh sb="17" eb="20">
      <t>ショウカンガク</t>
    </rPh>
    <phoneticPr fontId="2"/>
  </si>
  <si>
    <t>カット後の給料額＋教職調整額</t>
    <rPh sb="3" eb="4">
      <t>ゴ</t>
    </rPh>
    <rPh sb="5" eb="7">
      <t>キュウリョウ</t>
    </rPh>
    <rPh sb="7" eb="8">
      <t>ガク</t>
    </rPh>
    <rPh sb="9" eb="11">
      <t>キョウショク</t>
    </rPh>
    <rPh sb="11" eb="14">
      <t>チョウセイガク</t>
    </rPh>
    <phoneticPr fontId="2"/>
  </si>
  <si>
    <t>給料月額の10分の３</t>
    <rPh sb="7" eb="8">
      <t>ブン</t>
    </rPh>
    <phoneticPr fontId="2"/>
  </si>
  <si>
    <t>給料月額の10分の6</t>
    <rPh sb="7" eb="8">
      <t>ブン</t>
    </rPh>
    <phoneticPr fontId="2"/>
  </si>
  <si>
    <t>育休等猶予残額</t>
    <rPh sb="0" eb="1">
      <t>イク</t>
    </rPh>
    <rPh sb="1" eb="2">
      <t>キュウ</t>
    </rPh>
    <rPh sb="2" eb="3">
      <t>ナド</t>
    </rPh>
    <rPh sb="3" eb="5">
      <t>ユウヨ</t>
    </rPh>
    <rPh sb="5" eb="6">
      <t>ザン</t>
    </rPh>
    <rPh sb="6" eb="7">
      <t>ガク</t>
    </rPh>
    <phoneticPr fontId="2"/>
  </si>
  <si>
    <t>Ｂ１＝０かつＢ３＝２</t>
    <phoneticPr fontId="2"/>
  </si>
  <si>
    <t>Ｂ１＝０かつＢ３＝３</t>
    <phoneticPr fontId="2"/>
  </si>
  <si>
    <t>左の青色の項目は入力フォームで入力させたもの。</t>
    <rPh sb="0" eb="1">
      <t>ヒダリ</t>
    </rPh>
    <rPh sb="2" eb="3">
      <t>アオ</t>
    </rPh>
    <rPh sb="3" eb="4">
      <t>イロ</t>
    </rPh>
    <rPh sb="5" eb="7">
      <t>コウモク</t>
    </rPh>
    <rPh sb="8" eb="10">
      <t>ニュウリョク</t>
    </rPh>
    <rPh sb="15" eb="17">
      <t>ニュウリョク</t>
    </rPh>
    <phoneticPr fontId="2"/>
  </si>
  <si>
    <t>毎月償還額に係る最低額等の判定</t>
    <rPh sb="4" eb="5">
      <t>ガク</t>
    </rPh>
    <rPh sb="6" eb="7">
      <t>カカ</t>
    </rPh>
    <rPh sb="11" eb="12">
      <t>トウ</t>
    </rPh>
    <rPh sb="13" eb="15">
      <t>ハンテイ</t>
    </rPh>
    <phoneticPr fontId="2"/>
  </si>
  <si>
    <t>毎月償還の償還回数等の判定</t>
    <rPh sb="5" eb="7">
      <t>ショウカン</t>
    </rPh>
    <rPh sb="7" eb="9">
      <t>カイスウ</t>
    </rPh>
    <rPh sb="9" eb="10">
      <t>トウ</t>
    </rPh>
    <rPh sb="11" eb="13">
      <t>ハンテイ</t>
    </rPh>
    <phoneticPr fontId="2"/>
  </si>
  <si>
    <t>ここで、①毎月償還の償還回数を増やしていないか？②一繰をする毎月償還部分の償還回数を入力してしているか？③毎月償還部分の一部繰上償還額)を入力しているか？　を確認している。</t>
    <rPh sb="5" eb="7">
      <t>マイツキ</t>
    </rPh>
    <rPh sb="7" eb="9">
      <t>ショウカン</t>
    </rPh>
    <rPh sb="15" eb="16">
      <t>フ</t>
    </rPh>
    <rPh sb="25" eb="27">
      <t>イチク</t>
    </rPh>
    <rPh sb="30" eb="32">
      <t>マイツキ</t>
    </rPh>
    <rPh sb="32" eb="34">
      <t>ショウカン</t>
    </rPh>
    <rPh sb="34" eb="36">
      <t>ブブン</t>
    </rPh>
    <rPh sb="53" eb="55">
      <t>マイツキ</t>
    </rPh>
    <rPh sb="55" eb="57">
      <t>ショウカン</t>
    </rPh>
    <rPh sb="57" eb="59">
      <t>ブブン</t>
    </rPh>
    <rPh sb="60" eb="62">
      <t>イチブ</t>
    </rPh>
    <rPh sb="79" eb="81">
      <t>カクニン</t>
    </rPh>
    <phoneticPr fontId="2"/>
  </si>
  <si>
    <t>ここで、①毎月償還額の一繰額は未償還元金以内か？②毎月のみで償還（ボーナスのみ完済をしている）借受人の一繰額は１０万円以上か？③ボーナス併用者の一繰額は２０万円以上か？④一部繰上償還額の合計の１／２以上をﾎﾞｰﾅｽ償還に充てているか？　を確認している。</t>
    <rPh sb="5" eb="7">
      <t>マイツキ</t>
    </rPh>
    <rPh sb="7" eb="9">
      <t>ショウカン</t>
    </rPh>
    <rPh sb="9" eb="10">
      <t>ガク</t>
    </rPh>
    <rPh sb="11" eb="13">
      <t>イチク</t>
    </rPh>
    <rPh sb="13" eb="14">
      <t>ガク</t>
    </rPh>
    <rPh sb="25" eb="27">
      <t>マイツキ</t>
    </rPh>
    <rPh sb="30" eb="32">
      <t>ショウカン</t>
    </rPh>
    <rPh sb="39" eb="41">
      <t>カンサイ</t>
    </rPh>
    <rPh sb="47" eb="50">
      <t>カリウケニン</t>
    </rPh>
    <rPh sb="51" eb="53">
      <t>イチク</t>
    </rPh>
    <rPh sb="53" eb="54">
      <t>ガク</t>
    </rPh>
    <rPh sb="68" eb="70">
      <t>ヘイヨウ</t>
    </rPh>
    <rPh sb="70" eb="71">
      <t>シャ</t>
    </rPh>
    <rPh sb="72" eb="74">
      <t>イチク</t>
    </rPh>
    <rPh sb="74" eb="75">
      <t>ガク</t>
    </rPh>
    <rPh sb="78" eb="80">
      <t>マンエン</t>
    </rPh>
    <rPh sb="119" eb="121">
      <t>カクニン</t>
    </rPh>
    <phoneticPr fontId="2"/>
  </si>
  <si>
    <t>ここで、①ボーナスを併用しているか？②ボーナス併用償還の一繰額は,未償還元金以内か？③ボーナス併用者の一部繰上償還額の合計をは20万円以上か？④一部繰上償還額の合計の１／２以上をﾎﾞｰﾅｽ償還に充てているか？を確認している。</t>
    <rPh sb="23" eb="25">
      <t>ヘイヨウ</t>
    </rPh>
    <rPh sb="25" eb="27">
      <t>ショウカン</t>
    </rPh>
    <rPh sb="28" eb="30">
      <t>イチク</t>
    </rPh>
    <rPh sb="30" eb="31">
      <t>ガク</t>
    </rPh>
    <rPh sb="47" eb="49">
      <t>ヘイヨウ</t>
    </rPh>
    <rPh sb="49" eb="50">
      <t>シャ</t>
    </rPh>
    <rPh sb="105" eb="107">
      <t>カクニン</t>
    </rPh>
    <phoneticPr fontId="2"/>
  </si>
  <si>
    <t>ﾎﾞｰﾅｽ併用償還の最低額等の判定</t>
    <rPh sb="13" eb="14">
      <t>トウ</t>
    </rPh>
    <rPh sb="15" eb="17">
      <t>ハンテイ</t>
    </rPh>
    <phoneticPr fontId="2"/>
  </si>
  <si>
    <t>ここで、①ボーナスを併用しているか？②ボーナスの未償還額が０円なのに償還回数を入力していないか？③一繰りをするボーナス償還部分の償還回数を入力しているか？④ボーナスの償還回数を増やしていないか？⑤一繰後のボーナスの償還回数を毎月償還回数の６分の１以内にしているか？　を確認している。</t>
    <rPh sb="24" eb="27">
      <t>ミショウカン</t>
    </rPh>
    <rPh sb="27" eb="28">
      <t>ガク</t>
    </rPh>
    <rPh sb="30" eb="31">
      <t>エン</t>
    </rPh>
    <rPh sb="39" eb="41">
      <t>ニュウリョク</t>
    </rPh>
    <rPh sb="49" eb="51">
      <t>イチク</t>
    </rPh>
    <rPh sb="59" eb="61">
      <t>ショウカン</t>
    </rPh>
    <rPh sb="61" eb="63">
      <t>ブブン</t>
    </rPh>
    <rPh sb="98" eb="100">
      <t>イチク</t>
    </rPh>
    <rPh sb="100" eb="101">
      <t>ゴ</t>
    </rPh>
    <rPh sb="107" eb="109">
      <t>ショウカン</t>
    </rPh>
    <rPh sb="109" eb="111">
      <t>カイスウ</t>
    </rPh>
    <rPh sb="134" eb="136">
      <t>カクニン</t>
    </rPh>
    <phoneticPr fontId="2"/>
  </si>
  <si>
    <r>
      <t>平成１９年３月３１日以前に借受けた一般､住宅､教育､結婚､医療､葬祭貸付金の</t>
    </r>
    <r>
      <rPr>
        <b/>
        <sz val="11"/>
        <color indexed="12"/>
        <rFont val="ＭＳ Ｐゴシック"/>
        <family val="3"/>
        <charset val="128"/>
      </rPr>
      <t>一繰後の償還額</t>
    </r>
    <r>
      <rPr>
        <sz val="11"/>
        <color indexed="12"/>
        <rFont val="ＭＳ Ｐゴシック"/>
        <family val="3"/>
        <charset val="128"/>
      </rPr>
      <t>を算出</t>
    </r>
    <rPh sb="0" eb="2">
      <t>ヘイセイ</t>
    </rPh>
    <rPh sb="4" eb="5">
      <t>ネン</t>
    </rPh>
    <rPh sb="6" eb="7">
      <t>ガツ</t>
    </rPh>
    <rPh sb="9" eb="10">
      <t>ニチ</t>
    </rPh>
    <rPh sb="10" eb="12">
      <t>イゼン</t>
    </rPh>
    <rPh sb="13" eb="14">
      <t>カ</t>
    </rPh>
    <rPh sb="14" eb="15">
      <t>ウ</t>
    </rPh>
    <rPh sb="34" eb="37">
      <t>カシツケキン</t>
    </rPh>
    <rPh sb="46" eb="48">
      <t>サンシュツ</t>
    </rPh>
    <phoneticPr fontId="2"/>
  </si>
  <si>
    <r>
      <t>平成１９年３月３１日以前に借受けた住宅災害､災害貸付金の</t>
    </r>
    <r>
      <rPr>
        <b/>
        <sz val="11"/>
        <color indexed="12"/>
        <rFont val="ＭＳ Ｐゴシック"/>
        <family val="3"/>
        <charset val="128"/>
      </rPr>
      <t>一繰後の償還額</t>
    </r>
    <r>
      <rPr>
        <sz val="11"/>
        <color indexed="12"/>
        <rFont val="ＭＳ Ｐゴシック"/>
        <family val="3"/>
        <charset val="128"/>
      </rPr>
      <t>を算出</t>
    </r>
    <rPh sb="0" eb="2">
      <t>ヘイセイ</t>
    </rPh>
    <rPh sb="4" eb="5">
      <t>ネン</t>
    </rPh>
    <rPh sb="6" eb="7">
      <t>ガツ</t>
    </rPh>
    <rPh sb="9" eb="10">
      <t>ニチ</t>
    </rPh>
    <rPh sb="10" eb="12">
      <t>イゼン</t>
    </rPh>
    <rPh sb="13" eb="14">
      <t>カ</t>
    </rPh>
    <rPh sb="14" eb="15">
      <t>ウ</t>
    </rPh>
    <rPh sb="24" eb="27">
      <t>カシツケキン</t>
    </rPh>
    <phoneticPr fontId="2"/>
  </si>
  <si>
    <r>
      <t>平成１９年３月３１日以前に借受けた介護貸付金の</t>
    </r>
    <r>
      <rPr>
        <b/>
        <sz val="11"/>
        <color indexed="12"/>
        <rFont val="ＭＳ Ｐゴシック"/>
        <family val="3"/>
        <charset val="128"/>
      </rPr>
      <t>一繰後の償還額</t>
    </r>
    <r>
      <rPr>
        <sz val="11"/>
        <color indexed="12"/>
        <rFont val="ＭＳ Ｐゴシック"/>
        <family val="3"/>
        <charset val="128"/>
      </rPr>
      <t>を算出</t>
    </r>
    <rPh sb="0" eb="2">
      <t>ヘイセイ</t>
    </rPh>
    <rPh sb="4" eb="5">
      <t>ネン</t>
    </rPh>
    <rPh sb="6" eb="7">
      <t>ガツ</t>
    </rPh>
    <rPh sb="9" eb="10">
      <t>ニチ</t>
    </rPh>
    <rPh sb="10" eb="12">
      <t>イゼン</t>
    </rPh>
    <rPh sb="13" eb="14">
      <t>カ</t>
    </rPh>
    <rPh sb="14" eb="15">
      <t>ウ</t>
    </rPh>
    <rPh sb="17" eb="19">
      <t>カイゴ</t>
    </rPh>
    <rPh sb="19" eb="22">
      <t>カシツケキン</t>
    </rPh>
    <phoneticPr fontId="2"/>
  </si>
  <si>
    <r>
      <t>平成１９年４月１日以降に借受けた一般､住宅､教育､結婚､医療､葬祭貸付金の</t>
    </r>
    <r>
      <rPr>
        <b/>
        <sz val="11"/>
        <color indexed="12"/>
        <rFont val="ＭＳ Ｐゴシック"/>
        <family val="3"/>
        <charset val="128"/>
      </rPr>
      <t>一繰後の償還額</t>
    </r>
    <r>
      <rPr>
        <sz val="11"/>
        <color indexed="12"/>
        <rFont val="ＭＳ Ｐゴシック"/>
        <family val="3"/>
        <charset val="128"/>
      </rPr>
      <t>を算出</t>
    </r>
    <rPh sb="0" eb="2">
      <t>ヘイセイ</t>
    </rPh>
    <rPh sb="4" eb="5">
      <t>ネン</t>
    </rPh>
    <rPh sb="6" eb="7">
      <t>ガツ</t>
    </rPh>
    <rPh sb="8" eb="9">
      <t>ニチ</t>
    </rPh>
    <rPh sb="9" eb="11">
      <t>イコウ</t>
    </rPh>
    <rPh sb="33" eb="36">
      <t>カシツケキン</t>
    </rPh>
    <phoneticPr fontId="2"/>
  </si>
  <si>
    <r>
      <t>平成１９年４月１日以降に借受けた住宅災害､災害貸付金の</t>
    </r>
    <r>
      <rPr>
        <b/>
        <sz val="11"/>
        <color indexed="12"/>
        <rFont val="ＭＳ Ｐゴシック"/>
        <family val="3"/>
        <charset val="128"/>
      </rPr>
      <t>一繰後の償還額</t>
    </r>
    <r>
      <rPr>
        <sz val="11"/>
        <color indexed="12"/>
        <rFont val="ＭＳ Ｐゴシック"/>
        <family val="3"/>
        <charset val="128"/>
      </rPr>
      <t>を算出</t>
    </r>
    <rPh sb="0" eb="2">
      <t>ヘイセイ</t>
    </rPh>
    <rPh sb="4" eb="5">
      <t>ネン</t>
    </rPh>
    <rPh sb="6" eb="7">
      <t>ガツ</t>
    </rPh>
    <rPh sb="8" eb="9">
      <t>ニチ</t>
    </rPh>
    <rPh sb="9" eb="11">
      <t>イコウ</t>
    </rPh>
    <rPh sb="23" eb="26">
      <t>カシツケキン</t>
    </rPh>
    <phoneticPr fontId="2"/>
  </si>
  <si>
    <r>
      <t>平成１９年４月１日以降に借受けた介護貸付金の</t>
    </r>
    <r>
      <rPr>
        <b/>
        <sz val="11"/>
        <color indexed="12"/>
        <rFont val="ＭＳ Ｐゴシック"/>
        <family val="3"/>
        <charset val="128"/>
      </rPr>
      <t>一繰後の償還額</t>
    </r>
    <r>
      <rPr>
        <sz val="11"/>
        <color indexed="12"/>
        <rFont val="ＭＳ Ｐゴシック"/>
        <family val="3"/>
        <charset val="128"/>
      </rPr>
      <t>を算出</t>
    </r>
    <rPh sb="0" eb="2">
      <t>ヘイセイ</t>
    </rPh>
    <rPh sb="4" eb="5">
      <t>ネン</t>
    </rPh>
    <rPh sb="6" eb="7">
      <t>ガツ</t>
    </rPh>
    <rPh sb="8" eb="9">
      <t>ニチ</t>
    </rPh>
    <rPh sb="9" eb="11">
      <t>イコウ</t>
    </rPh>
    <rPh sb="16" eb="18">
      <t>カイゴ</t>
    </rPh>
    <rPh sb="18" eb="21">
      <t>カシツケキン</t>
    </rPh>
    <phoneticPr fontId="2"/>
  </si>
  <si>
    <r>
      <t>　　※上記と同様。</t>
    </r>
    <r>
      <rPr>
        <b/>
        <sz val="11"/>
        <color indexed="12"/>
        <rFont val="ＭＳ Ｐゴシック"/>
        <family val="3"/>
        <charset val="128"/>
      </rPr>
      <t>一繰後のボーナス償還額</t>
    </r>
    <r>
      <rPr>
        <sz val="11"/>
        <color indexed="12"/>
        <rFont val="ＭＳ Ｐゴシック"/>
        <family val="3"/>
        <charset val="128"/>
      </rPr>
      <t>を算出。</t>
    </r>
    <rPh sb="3" eb="5">
      <t>ジョウキ</t>
    </rPh>
    <rPh sb="6" eb="8">
      <t>ドウヨウ</t>
    </rPh>
    <rPh sb="9" eb="11">
      <t>イチク</t>
    </rPh>
    <rPh sb="11" eb="12">
      <t>ゴ</t>
    </rPh>
    <rPh sb="17" eb="20">
      <t>ショウカンガク</t>
    </rPh>
    <rPh sb="21" eb="23">
      <t>サンシュツ</t>
    </rPh>
    <phoneticPr fontId="2"/>
  </si>
  <si>
    <t>Ｂ１＝１かつＢ３＝１</t>
    <phoneticPr fontId="2"/>
  </si>
  <si>
    <t>Ｂ１＝１かつＢ３＝２</t>
    <phoneticPr fontId="2"/>
  </si>
  <si>
    <t>Ｂ１＝１かつＢ３＝３</t>
    <phoneticPr fontId="2"/>
  </si>
  <si>
    <t>Ｂ１＝０かつＢ３＝１</t>
    <phoneticPr fontId="2"/>
  </si>
  <si>
    <t>Ｂ１＝０かつＢ３＝２</t>
    <phoneticPr fontId="2"/>
  </si>
  <si>
    <t>Ｂ１＝０かつＢ３＝３</t>
    <phoneticPr fontId="2"/>
  </si>
  <si>
    <t>Ｂ１＝１かつＢ３＝１</t>
    <phoneticPr fontId="2"/>
  </si>
  <si>
    <t>Ｂ１＝１かつＢ３＝２</t>
    <phoneticPr fontId="2"/>
  </si>
  <si>
    <t>Ｂ１＝１かつＢ３＝３</t>
    <phoneticPr fontId="2"/>
  </si>
  <si>
    <t>Ｂ１＝０かつＢ３＝１</t>
    <phoneticPr fontId="2"/>
  </si>
  <si>
    <t>右の黄色の項目は一繰後の償還額を反映させてある。</t>
    <rPh sb="0" eb="1">
      <t>ミギ</t>
    </rPh>
    <rPh sb="2" eb="4">
      <t>キイロ</t>
    </rPh>
    <rPh sb="5" eb="7">
      <t>コウモク</t>
    </rPh>
    <rPh sb="8" eb="9">
      <t>イチ</t>
    </rPh>
    <rPh sb="9" eb="10">
      <t>ク</t>
    </rPh>
    <rPh sb="10" eb="11">
      <t>ゴ</t>
    </rPh>
    <rPh sb="12" eb="14">
      <t>ショウカン</t>
    </rPh>
    <rPh sb="14" eb="15">
      <t>ガク</t>
    </rPh>
    <rPh sb="16" eb="18">
      <t>ハンエイ</t>
    </rPh>
    <phoneticPr fontId="2"/>
  </si>
  <si>
    <t>ボーナス償還部分の経過利息を算出</t>
    <rPh sb="4" eb="6">
      <t>ショウカン</t>
    </rPh>
    <rPh sb="6" eb="8">
      <t>ブブン</t>
    </rPh>
    <rPh sb="9" eb="11">
      <t>ケイカ</t>
    </rPh>
    <rPh sb="11" eb="13">
      <t>リソク</t>
    </rPh>
    <rPh sb="14" eb="16">
      <t>サンシュツ</t>
    </rPh>
    <phoneticPr fontId="2"/>
  </si>
  <si>
    <t>入力フォームに、ボーナス償還部分のみを一繰する場合の注意事項を表示させるための判別。</t>
    <rPh sb="0" eb="2">
      <t>ニュウリョク</t>
    </rPh>
    <rPh sb="12" eb="14">
      <t>ショウカン</t>
    </rPh>
    <rPh sb="14" eb="16">
      <t>ブブン</t>
    </rPh>
    <rPh sb="19" eb="21">
      <t>イチク</t>
    </rPh>
    <rPh sb="23" eb="25">
      <t>バアイ</t>
    </rPh>
    <rPh sb="26" eb="28">
      <t>チュウイ</t>
    </rPh>
    <rPh sb="28" eb="30">
      <t>ジコウ</t>
    </rPh>
    <rPh sb="31" eb="33">
      <t>ヒョウジ</t>
    </rPh>
    <rPh sb="39" eb="41">
      <t>ハンベツ</t>
    </rPh>
    <phoneticPr fontId="2"/>
  </si>
  <si>
    <t>月利</t>
  </si>
  <si>
    <t>月利</t>
    <rPh sb="0" eb="2">
      <t>ゲツリ</t>
    </rPh>
    <phoneticPr fontId="2"/>
  </si>
  <si>
    <t>年利</t>
    <rPh sb="0" eb="2">
      <t>ネンリ</t>
    </rPh>
    <phoneticPr fontId="2"/>
  </si>
  <si>
    <t>　　　　所属所名　　　　　　　　　　　　　　　　　　　　　　　　　　　　　電話番号（　　　　　）　　　　－</t>
    <rPh sb="4" eb="6">
      <t>ショゾク</t>
    </rPh>
    <rPh sb="6" eb="7">
      <t>トコロ</t>
    </rPh>
    <rPh sb="7" eb="8">
      <t>メイ</t>
    </rPh>
    <rPh sb="37" eb="39">
      <t>デンワ</t>
    </rPh>
    <rPh sb="39" eb="41">
      <t>バンゴウ</t>
    </rPh>
    <phoneticPr fontId="2"/>
  </si>
  <si>
    <t>Ｈ１９．４．１以降なら「１」 、でなければ「０」。　　ここで、保証料の０．０６％が付くのか付かないのかを判定。</t>
    <rPh sb="7" eb="9">
      <t>イコウ</t>
    </rPh>
    <rPh sb="31" eb="33">
      <t>ホショウ</t>
    </rPh>
    <rPh sb="33" eb="34">
      <t>リョウ</t>
    </rPh>
    <rPh sb="41" eb="42">
      <t>ツ</t>
    </rPh>
    <rPh sb="45" eb="46">
      <t>ツ</t>
    </rPh>
    <rPh sb="52" eb="54">
      <t>ハンテイ</t>
    </rPh>
    <phoneticPr fontId="2"/>
  </si>
  <si>
    <t>入力フォームで選択させた貸付種別コードを表示。</t>
    <rPh sb="0" eb="2">
      <t>ニュウリョク</t>
    </rPh>
    <rPh sb="7" eb="9">
      <t>センタク</t>
    </rPh>
    <rPh sb="12" eb="14">
      <t>カシツケ</t>
    </rPh>
    <rPh sb="14" eb="16">
      <t>シュベツ</t>
    </rPh>
    <rPh sb="20" eb="22">
      <t>ヒョウジ</t>
    </rPh>
    <phoneticPr fontId="2"/>
  </si>
  <si>
    <t>一般､住宅､教育､結婚､医療､葬祭…１　　住宅災害､災害…２　　介護構造…３　貸付種別による賦金率表を選択。</t>
    <rPh sb="0" eb="2">
      <t>イッパン</t>
    </rPh>
    <rPh sb="3" eb="5">
      <t>ジュウタク</t>
    </rPh>
    <rPh sb="6" eb="8">
      <t>キョウイク</t>
    </rPh>
    <rPh sb="9" eb="11">
      <t>ケッコン</t>
    </rPh>
    <rPh sb="12" eb="14">
      <t>イリョウ</t>
    </rPh>
    <rPh sb="15" eb="17">
      <t>ソウサイ</t>
    </rPh>
    <rPh sb="21" eb="23">
      <t>ジュウタク</t>
    </rPh>
    <rPh sb="23" eb="25">
      <t>サイガイ</t>
    </rPh>
    <rPh sb="26" eb="28">
      <t>サイガイ</t>
    </rPh>
    <rPh sb="32" eb="34">
      <t>カイゴ</t>
    </rPh>
    <rPh sb="34" eb="36">
      <t>コウゾウ</t>
    </rPh>
    <rPh sb="39" eb="40">
      <t>カ</t>
    </rPh>
    <rPh sb="40" eb="41">
      <t>ツ</t>
    </rPh>
    <rPh sb="41" eb="43">
      <t>シュベツ</t>
    </rPh>
    <rPh sb="46" eb="47">
      <t>フ</t>
    </rPh>
    <rPh sb="47" eb="48">
      <t>キン</t>
    </rPh>
    <rPh sb="48" eb="49">
      <t>リツ</t>
    </rPh>
    <rPh sb="49" eb="50">
      <t>オモテ</t>
    </rPh>
    <rPh sb="51" eb="53">
      <t>センタク</t>
    </rPh>
    <phoneticPr fontId="2"/>
  </si>
  <si>
    <t>入力フォームで入力させた毎月償還の未償還回数を表示。</t>
    <rPh sb="12" eb="14">
      <t>マイツキ</t>
    </rPh>
    <rPh sb="14" eb="16">
      <t>ショウカン</t>
    </rPh>
    <rPh sb="17" eb="20">
      <t>ミショウカン</t>
    </rPh>
    <rPh sb="20" eb="22">
      <t>カイスウ</t>
    </rPh>
    <rPh sb="23" eb="25">
      <t>ヒョウジ</t>
    </rPh>
    <phoneticPr fontId="2"/>
  </si>
  <si>
    <t>入力フォームで入力させた毎月償還の未償還元金を表示。</t>
    <rPh sb="20" eb="22">
      <t>ガンキン</t>
    </rPh>
    <rPh sb="23" eb="25">
      <t>ヒョウジ</t>
    </rPh>
    <phoneticPr fontId="2"/>
  </si>
  <si>
    <t>←左の青枠は、入力ﾌｫｰﾑで入力させたﾎﾞｰﾅｽ償還の未償還回数。右の黄枠はﾎﾞｰﾅｽ償還回数6分の1以内を判定。</t>
    <rPh sb="1" eb="2">
      <t>ヒダリ</t>
    </rPh>
    <rPh sb="3" eb="4">
      <t>アオ</t>
    </rPh>
    <rPh sb="4" eb="5">
      <t>ワク</t>
    </rPh>
    <rPh sb="33" eb="34">
      <t>ミギ</t>
    </rPh>
    <rPh sb="35" eb="36">
      <t>キ</t>
    </rPh>
    <rPh sb="36" eb="37">
      <t>ワク</t>
    </rPh>
    <rPh sb="43" eb="45">
      <t>ショウカン</t>
    </rPh>
    <rPh sb="45" eb="47">
      <t>カイスウ</t>
    </rPh>
    <rPh sb="48" eb="49">
      <t>ブン</t>
    </rPh>
    <rPh sb="51" eb="53">
      <t>イナイ</t>
    </rPh>
    <rPh sb="54" eb="56">
      <t>ハンテイ</t>
    </rPh>
    <phoneticPr fontId="2"/>
  </si>
  <si>
    <t>一部繰上償還後のボーナス償還額</t>
    <phoneticPr fontId="2"/>
  </si>
  <si>
    <t>入力フォームで入力させたボーナス償還の未償還元金。</t>
    <phoneticPr fontId="2"/>
  </si>
  <si>
    <t>ボーナスの未償還元金が、0&lt;「１」、でなければ「０」。</t>
    <rPh sb="5" eb="8">
      <t>ミショウカン</t>
    </rPh>
    <rPh sb="8" eb="10">
      <t>ガンキン</t>
    </rPh>
    <phoneticPr fontId="2"/>
  </si>
  <si>
    <t>入力フォームで入力させた掛金の基礎となる給料月額。</t>
    <rPh sb="12" eb="13">
      <t>カ</t>
    </rPh>
    <rPh sb="13" eb="14">
      <t>キン</t>
    </rPh>
    <rPh sb="15" eb="17">
      <t>キソ</t>
    </rPh>
    <rPh sb="20" eb="22">
      <t>キュウリョウ</t>
    </rPh>
    <rPh sb="22" eb="24">
      <t>ゲツガク</t>
    </rPh>
    <phoneticPr fontId="2"/>
  </si>
  <si>
    <t>給料月額の3/10判定。</t>
    <rPh sb="9" eb="11">
      <t>ハンテイ</t>
    </rPh>
    <phoneticPr fontId="2"/>
  </si>
  <si>
    <t>給料月額6/10判定。</t>
    <rPh sb="8" eb="10">
      <t>ハンテイ</t>
    </rPh>
    <phoneticPr fontId="2"/>
  </si>
  <si>
    <t>入力フォームで入力させた猶予金残額。</t>
    <rPh sb="12" eb="14">
      <t>ユウヨ</t>
    </rPh>
    <rPh sb="14" eb="15">
      <t>キン</t>
    </rPh>
    <rPh sb="15" eb="17">
      <t>ザンガク</t>
    </rPh>
    <phoneticPr fontId="2"/>
  </si>
  <si>
    <t>一繰後の償還額とその他の償還額の合計が給料の制限を越えていないかを判別させるため区別している。</t>
    <rPh sb="0" eb="1">
      <t>イチ</t>
    </rPh>
    <rPh sb="1" eb="2">
      <t>ク</t>
    </rPh>
    <rPh sb="2" eb="3">
      <t>ゴ</t>
    </rPh>
    <rPh sb="4" eb="6">
      <t>ショウカン</t>
    </rPh>
    <rPh sb="6" eb="7">
      <t>ガク</t>
    </rPh>
    <rPh sb="40" eb="42">
      <t>クベツ</t>
    </rPh>
    <phoneticPr fontId="2"/>
  </si>
  <si>
    <t>←左は月利。右は年利。</t>
    <rPh sb="1" eb="2">
      <t>ヒダリ</t>
    </rPh>
    <rPh sb="3" eb="5">
      <t>ゲツリ</t>
    </rPh>
    <rPh sb="6" eb="7">
      <t>ミギ</t>
    </rPh>
    <rPh sb="8" eb="10">
      <t>ネンリ</t>
    </rPh>
    <phoneticPr fontId="2"/>
  </si>
  <si>
    <t>　入力フォームで入力させた、借受人が希望する償還回数と一部繰上償還額。</t>
    <rPh sb="14" eb="17">
      <t>カリウケニン</t>
    </rPh>
    <rPh sb="18" eb="20">
      <t>キボウ</t>
    </rPh>
    <rPh sb="22" eb="24">
      <t>ショウカン</t>
    </rPh>
    <rPh sb="24" eb="26">
      <t>カイスウ</t>
    </rPh>
    <rPh sb="27" eb="29">
      <t>イチブ</t>
    </rPh>
    <rPh sb="29" eb="31">
      <t>クリアゲ</t>
    </rPh>
    <rPh sb="31" eb="34">
      <t>ショウカンガク</t>
    </rPh>
    <phoneticPr fontId="2"/>
  </si>
  <si>
    <t>　下のＩＦ文を見やすくするためセルＢ４、５、７をここに表示</t>
    <rPh sb="1" eb="2">
      <t>シタ</t>
    </rPh>
    <rPh sb="5" eb="6">
      <t>ブン</t>
    </rPh>
    <rPh sb="7" eb="8">
      <t>ミ</t>
    </rPh>
    <rPh sb="27" eb="29">
      <t>ヒョウジ</t>
    </rPh>
    <phoneticPr fontId="2"/>
  </si>
  <si>
    <t>一繰後の毎月償還額とその他の毎月償還額の合計が給料の3/10を越えていないかを判別。</t>
    <rPh sb="4" eb="6">
      <t>マイツキ</t>
    </rPh>
    <rPh sb="14" eb="16">
      <t>マイツキ</t>
    </rPh>
    <phoneticPr fontId="2"/>
  </si>
  <si>
    <t>一繰後のボーナス償還額とその他のボーナス償還額の合計が給料の6/10を越えていないかを判別。</t>
    <phoneticPr fontId="2"/>
  </si>
  <si>
    <t>給料月額の
１０分の３</t>
    <rPh sb="0" eb="2">
      <t>キュウリョウ</t>
    </rPh>
    <rPh sb="2" eb="4">
      <t>ゲツガク</t>
    </rPh>
    <rPh sb="8" eb="9">
      <t>ブン</t>
    </rPh>
    <phoneticPr fontId="2"/>
  </si>
  <si>
    <t>給料月額の
１０分の６</t>
    <rPh sb="0" eb="2">
      <t>キュウリョウ</t>
    </rPh>
    <rPh sb="2" eb="4">
      <t>ゲツガク</t>
    </rPh>
    <rPh sb="8" eb="9">
      <t>ブン</t>
    </rPh>
    <phoneticPr fontId="2"/>
  </si>
  <si>
    <t>一繰月の月末時点の未償還回数（毎月償還部分）</t>
    <rPh sb="0" eb="2">
      <t>イチク</t>
    </rPh>
    <rPh sb="2" eb="3">
      <t>ツキ</t>
    </rPh>
    <rPh sb="4" eb="5">
      <t>ガツ</t>
    </rPh>
    <rPh sb="5" eb="6">
      <t>マツ</t>
    </rPh>
    <rPh sb="6" eb="8">
      <t>ジテン</t>
    </rPh>
    <rPh sb="9" eb="12">
      <t>ミショウカン</t>
    </rPh>
    <rPh sb="12" eb="14">
      <t>カイスウ</t>
    </rPh>
    <phoneticPr fontId="2"/>
  </si>
  <si>
    <t>一繰月の月末時点の未償還元金（毎月償還部分）</t>
    <rPh sb="0" eb="2">
      <t>イチク</t>
    </rPh>
    <rPh sb="2" eb="3">
      <t>ツキ</t>
    </rPh>
    <rPh sb="4" eb="5">
      <t>ガツ</t>
    </rPh>
    <rPh sb="5" eb="6">
      <t>マツ</t>
    </rPh>
    <rPh sb="6" eb="8">
      <t>ジテン</t>
    </rPh>
    <rPh sb="9" eb="12">
      <t>ミショウカン</t>
    </rPh>
    <rPh sb="12" eb="14">
      <t>ガンキン</t>
    </rPh>
    <rPh sb="15" eb="17">
      <t>マイツキ</t>
    </rPh>
    <rPh sb="17" eb="19">
      <t>ショウカン</t>
    </rPh>
    <rPh sb="19" eb="21">
      <t>ブブン</t>
    </rPh>
    <phoneticPr fontId="2"/>
  </si>
  <si>
    <t>一繰月の月末時点の未償還回数（ボーナス償還部分）</t>
    <rPh sb="0" eb="2">
      <t>イチク</t>
    </rPh>
    <rPh sb="2" eb="3">
      <t>ツキ</t>
    </rPh>
    <rPh sb="4" eb="5">
      <t>ガツ</t>
    </rPh>
    <rPh sb="5" eb="6">
      <t>マツ</t>
    </rPh>
    <rPh sb="6" eb="8">
      <t>ジテン</t>
    </rPh>
    <rPh sb="9" eb="12">
      <t>ミショウカン</t>
    </rPh>
    <rPh sb="12" eb="14">
      <t>カイスウ</t>
    </rPh>
    <phoneticPr fontId="2"/>
  </si>
  <si>
    <t>一繰月の月末時点の未償還元金（ボーナス償還部分）</t>
    <rPh sb="0" eb="2">
      <t>イチク</t>
    </rPh>
    <rPh sb="2" eb="3">
      <t>ツキ</t>
    </rPh>
    <rPh sb="4" eb="5">
      <t>ガツ</t>
    </rPh>
    <rPh sb="5" eb="6">
      <t>マツ</t>
    </rPh>
    <rPh sb="6" eb="8">
      <t>ジテン</t>
    </rPh>
    <rPh sb="9" eb="12">
      <t>ミショウカン</t>
    </rPh>
    <rPh sb="12" eb="14">
      <t>ガンキン</t>
    </rPh>
    <rPh sb="19" eb="21">
      <t>ショウカン</t>
    </rPh>
    <rPh sb="21" eb="23">
      <t>ブブン</t>
    </rPh>
    <phoneticPr fontId="2"/>
  </si>
  <si>
    <t>一繰月の月末時点の未償還回数</t>
    <rPh sb="0" eb="2">
      <t>イチク</t>
    </rPh>
    <rPh sb="2" eb="3">
      <t>ツキ</t>
    </rPh>
    <rPh sb="4" eb="5">
      <t>ガツ</t>
    </rPh>
    <rPh sb="5" eb="6">
      <t>マツ</t>
    </rPh>
    <rPh sb="6" eb="8">
      <t>ジテン</t>
    </rPh>
    <rPh sb="9" eb="12">
      <t>ミショウカン</t>
    </rPh>
    <rPh sb="12" eb="14">
      <t>カイスウ</t>
    </rPh>
    <phoneticPr fontId="2"/>
  </si>
  <si>
    <t>一繰月の月末時点の未償還元金</t>
    <rPh sb="0" eb="2">
      <t>イチク</t>
    </rPh>
    <rPh sb="2" eb="3">
      <t>ツキ</t>
    </rPh>
    <rPh sb="4" eb="5">
      <t>ガツ</t>
    </rPh>
    <rPh sb="5" eb="6">
      <t>マツ</t>
    </rPh>
    <rPh sb="6" eb="8">
      <t>ジテン</t>
    </rPh>
    <rPh sb="9" eb="12">
      <t>ミショウカン</t>
    </rPh>
    <rPh sb="12" eb="14">
      <t>ガンキン</t>
    </rPh>
    <phoneticPr fontId="2"/>
  </si>
  <si>
    <t>一繰月の月末時点のボーナスの未償還元金</t>
    <rPh sb="0" eb="2">
      <t>イチク</t>
    </rPh>
    <rPh sb="2" eb="3">
      <t>ツキ</t>
    </rPh>
    <rPh sb="4" eb="5">
      <t>ガツ</t>
    </rPh>
    <rPh sb="5" eb="6">
      <t>マツ</t>
    </rPh>
    <rPh sb="6" eb="8">
      <t>ジテン</t>
    </rPh>
    <rPh sb="14" eb="17">
      <t>ミショウカン</t>
    </rPh>
    <rPh sb="17" eb="19">
      <t>ガンキン</t>
    </rPh>
    <phoneticPr fontId="2"/>
  </si>
  <si>
    <r>
      <rPr>
        <b/>
        <sz val="11"/>
        <color indexed="12"/>
        <rFont val="ＭＳ Ｐゴシック"/>
        <family val="3"/>
        <charset val="128"/>
      </rPr>
      <t>一部繰上償還額</t>
    </r>
    <r>
      <rPr>
        <sz val="11"/>
        <color indexed="12"/>
        <rFont val="ＭＳ Ｐゴシック"/>
        <family val="3"/>
        <charset val="128"/>
      </rPr>
      <t>（毎月部分）</t>
    </r>
    <rPh sb="0" eb="2">
      <t>イチブ</t>
    </rPh>
    <rPh sb="2" eb="4">
      <t>クリアゲ</t>
    </rPh>
    <rPh sb="4" eb="7">
      <t>ショウカンガク</t>
    </rPh>
    <rPh sb="8" eb="10">
      <t>マイツキ</t>
    </rPh>
    <rPh sb="10" eb="12">
      <t>ブブン</t>
    </rPh>
    <phoneticPr fontId="2"/>
  </si>
  <si>
    <r>
      <t>一部繰上償還額</t>
    </r>
    <r>
      <rPr>
        <sz val="11"/>
        <color indexed="12"/>
        <rFont val="ＭＳ Ｐゴシック"/>
        <family val="3"/>
        <charset val="128"/>
      </rPr>
      <t>（ﾎﾞｰﾅｽ部分）</t>
    </r>
    <rPh sb="0" eb="2">
      <t>イチブ</t>
    </rPh>
    <rPh sb="2" eb="4">
      <t>クリアゲ</t>
    </rPh>
    <rPh sb="4" eb="7">
      <t>ショウカンガク</t>
    </rPh>
    <rPh sb="13" eb="15">
      <t>ブブン</t>
    </rPh>
    <phoneticPr fontId="2"/>
  </si>
  <si>
    <r>
      <rPr>
        <sz val="9"/>
        <color indexed="12"/>
        <rFont val="ＭＳ Ｐゴシック"/>
        <family val="3"/>
        <charset val="128"/>
      </rPr>
      <t>一繰後の</t>
    </r>
    <r>
      <rPr>
        <b/>
        <sz val="11"/>
        <color indexed="12"/>
        <rFont val="ＭＳ Ｐゴシック"/>
        <family val="3"/>
        <charset val="128"/>
      </rPr>
      <t>希望する償還回数</t>
    </r>
    <r>
      <rPr>
        <sz val="11"/>
        <color indexed="12"/>
        <rFont val="ＭＳ Ｐゴシック"/>
        <family val="3"/>
        <charset val="128"/>
      </rPr>
      <t>（毎月部分）</t>
    </r>
    <rPh sb="0" eb="1">
      <t>キイチ</t>
    </rPh>
    <rPh sb="1" eb="2">
      <t>ク</t>
    </rPh>
    <rPh sb="2" eb="3">
      <t>ゴ</t>
    </rPh>
    <rPh sb="4" eb="6">
      <t>キボウ</t>
    </rPh>
    <rPh sb="8" eb="10">
      <t>ショウカン</t>
    </rPh>
    <rPh sb="10" eb="12">
      <t>カイスウ</t>
    </rPh>
    <rPh sb="15" eb="17">
      <t>ブブン</t>
    </rPh>
    <phoneticPr fontId="2"/>
  </si>
  <si>
    <r>
      <rPr>
        <sz val="9"/>
        <color indexed="12"/>
        <rFont val="ＭＳ Ｐゴシック"/>
        <family val="3"/>
        <charset val="128"/>
      </rPr>
      <t>一繰後の</t>
    </r>
    <r>
      <rPr>
        <b/>
        <sz val="11"/>
        <color indexed="12"/>
        <rFont val="ＭＳ Ｐゴシック"/>
        <family val="3"/>
        <charset val="128"/>
      </rPr>
      <t>希望する償還回数</t>
    </r>
    <r>
      <rPr>
        <sz val="11"/>
        <color indexed="12"/>
        <rFont val="ＭＳ Ｐゴシック"/>
        <family val="3"/>
        <charset val="128"/>
      </rPr>
      <t>（ﾎﾞｰﾅｽ部分）</t>
    </r>
    <rPh sb="0" eb="1">
      <t>キイチ</t>
    </rPh>
    <rPh sb="1" eb="2">
      <t>ク</t>
    </rPh>
    <rPh sb="2" eb="3">
      <t>ゴ</t>
    </rPh>
    <rPh sb="4" eb="6">
      <t>キボウ</t>
    </rPh>
    <rPh sb="8" eb="10">
      <t>ショウカン</t>
    </rPh>
    <rPh sb="10" eb="12">
      <t>カイスウ</t>
    </rPh>
    <rPh sb="18" eb="20">
      <t>ブブン</t>
    </rPh>
    <phoneticPr fontId="2"/>
  </si>
  <si>
    <t>給料月額（給料額＋教職調整額）</t>
    <rPh sb="0" eb="2">
      <t>キュウリョウ</t>
    </rPh>
    <rPh sb="2" eb="4">
      <t>ゲツガク</t>
    </rPh>
    <rPh sb="5" eb="7">
      <t>キュウリョウ</t>
    </rPh>
    <rPh sb="7" eb="8">
      <t>ガク</t>
    </rPh>
    <rPh sb="9" eb="11">
      <t>キョウショク</t>
    </rPh>
    <rPh sb="11" eb="14">
      <t>チョウセイガク</t>
    </rPh>
    <phoneticPr fontId="2"/>
  </si>
  <si>
    <t>　　　　　　　　年　　　　　月　　　　日</t>
    <rPh sb="8" eb="9">
      <t>ネン</t>
    </rPh>
    <rPh sb="14" eb="15">
      <t>ガツ</t>
    </rPh>
    <rPh sb="19" eb="20">
      <t>ヒ</t>
    </rPh>
    <phoneticPr fontId="2"/>
  </si>
  <si>
    <t>（　月末現在）</t>
    <rPh sb="2" eb="3">
      <t>ガツ</t>
    </rPh>
    <rPh sb="3" eb="4">
      <t>マツ</t>
    </rPh>
    <rPh sb="4" eb="6">
      <t>ゲンザイ</t>
    </rPh>
    <phoneticPr fontId="2"/>
  </si>
  <si>
    <t>償還猶予残額（育休等で償還猶予を受けていた時のみ入力）</t>
    <rPh sb="4" eb="5">
      <t>ザン</t>
    </rPh>
    <rPh sb="7" eb="9">
      <t>イクキュウ</t>
    </rPh>
    <rPh sb="9" eb="10">
      <t>トウ</t>
    </rPh>
    <rPh sb="11" eb="13">
      <t>ショウカン</t>
    </rPh>
    <rPh sb="13" eb="15">
      <t>ユウヨ</t>
    </rPh>
    <rPh sb="16" eb="17">
      <t>ウ</t>
    </rPh>
    <rPh sb="21" eb="22">
      <t>トキ</t>
    </rPh>
    <rPh sb="24" eb="26">
      <t>ニュウリョク</t>
    </rPh>
    <phoneticPr fontId="2"/>
  </si>
  <si>
    <t xml:space="preserve">　　　　氏   名                    　　　　　                 </t>
    <rPh sb="4" eb="5">
      <t>シ</t>
    </rPh>
    <rPh sb="8" eb="9">
      <t>メイ</t>
    </rPh>
    <phoneticPr fontId="2"/>
  </si>
  <si>
    <t>2027年1月末時点</t>
    <rPh sb="4" eb="5">
      <t>ネン</t>
    </rPh>
    <rPh sb="8" eb="10">
      <t>ジテン</t>
    </rPh>
    <phoneticPr fontId="2"/>
  </si>
  <si>
    <t>1月末時点の残り回数（毎月部分）</t>
    <rPh sb="2" eb="3">
      <t>マツ</t>
    </rPh>
    <rPh sb="3" eb="5">
      <t>ジテン</t>
    </rPh>
    <rPh sb="6" eb="7">
      <t>ノコ</t>
    </rPh>
    <rPh sb="8" eb="10">
      <t>カイスウ</t>
    </rPh>
    <rPh sb="13" eb="15">
      <t>ブブン</t>
    </rPh>
    <phoneticPr fontId="2"/>
  </si>
  <si>
    <t>1月末時点の残高（毎月部分）</t>
    <rPh sb="6" eb="8">
      <t>ザンダカ</t>
    </rPh>
    <rPh sb="9" eb="11">
      <t>マイツキ</t>
    </rPh>
    <rPh sb="11" eb="13">
      <t>ブブン</t>
    </rPh>
    <phoneticPr fontId="2"/>
  </si>
  <si>
    <t>1月末時点の残り回数（ﾎﾞｰﾅｽ部分）</t>
    <rPh sb="6" eb="7">
      <t>ノコ</t>
    </rPh>
    <rPh sb="8" eb="10">
      <t>カイスウ</t>
    </rPh>
    <rPh sb="16" eb="18">
      <t>ブブン</t>
    </rPh>
    <phoneticPr fontId="2"/>
  </si>
  <si>
    <t>1月末時点の残高（ﾎﾞｰﾅｽ部分）</t>
    <rPh sb="6" eb="8">
      <t>ザンダカ</t>
    </rPh>
    <rPh sb="14" eb="16">
      <t>ブブン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</si>
</sst>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00000000"/>
    <numFmt numFmtId="177" formatCode="#,##0.000000;[Red]\-#,##0.000000"/>
    <numFmt numFmtId="178" formatCode="0.0000%"/>
    <numFmt numFmtId="179" formatCode="#,##0.0000000000_ "/>
    <numFmt numFmtId="180" formatCode="#,##0&quot;回&quot;;[Red]\-#,##0&quot;回&quot;"/>
    <numFmt numFmtId="181" formatCode="#,##0&quot;円&quot;;[Red]\-#,##0&quot;円&quot;"/>
  </numFmts>
  <fonts count="28" x14ac:knownFonts="1">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b/>
      <sz val="14"/>
      <color indexed="10"/>
      <name val="ＭＳ Ｐゴシック"/>
      <family val="3"/>
      <charset val="128"/>
    </font>
    <font>
      <b/>
      <sz val="16"/>
      <name val="ＭＳ Ｐゴシック"/>
      <family val="3"/>
      <charset val="128"/>
    </font>
    <font>
      <sz val="10"/>
      <name val="ＭＳ Ｐゴシック"/>
      <family val="3"/>
      <charset val="128"/>
    </font>
    <font>
      <sz val="9"/>
      <name val="ＭＳ Ｐゴシック"/>
      <family val="3"/>
      <charset val="128"/>
    </font>
    <font>
      <b/>
      <sz val="11"/>
      <color indexed="10"/>
      <name val="ＭＳ Ｐゴシック"/>
      <family val="3"/>
      <charset val="128"/>
    </font>
    <font>
      <sz val="11"/>
      <color indexed="10"/>
      <name val="ＭＳ Ｐゴシック"/>
      <family val="3"/>
      <charset val="128"/>
    </font>
    <font>
      <b/>
      <sz val="11"/>
      <name val="ＭＳ Ｐゴシック"/>
      <family val="3"/>
      <charset val="128"/>
    </font>
    <font>
      <sz val="11"/>
      <color indexed="9"/>
      <name val="ＭＳ Ｐゴシック"/>
      <family val="3"/>
      <charset val="128"/>
    </font>
    <font>
      <b/>
      <sz val="12"/>
      <color indexed="10"/>
      <name val="ＭＳ ゴシック"/>
      <family val="3"/>
      <charset val="128"/>
    </font>
    <font>
      <b/>
      <sz val="9"/>
      <name val="ＭＳ ゴシック"/>
      <family val="3"/>
      <charset val="128"/>
    </font>
    <font>
      <sz val="14"/>
      <name val="ＭＳ Ｐゴシック"/>
      <family val="3"/>
      <charset val="128"/>
    </font>
    <font>
      <sz val="12"/>
      <name val="ＭＳ 明朝"/>
      <family val="1"/>
      <charset val="128"/>
    </font>
    <font>
      <sz val="14"/>
      <name val="ＭＳ 明朝"/>
      <family val="1"/>
      <charset val="128"/>
    </font>
    <font>
      <sz val="16"/>
      <name val="ＭＳ 明朝"/>
      <family val="1"/>
      <charset val="128"/>
    </font>
    <font>
      <sz val="10"/>
      <name val="ＭＳ 明朝"/>
      <family val="1"/>
      <charset val="128"/>
    </font>
    <font>
      <sz val="11"/>
      <color indexed="12"/>
      <name val="ＭＳ Ｐゴシック"/>
      <family val="3"/>
      <charset val="128"/>
    </font>
    <font>
      <sz val="10"/>
      <color indexed="12"/>
      <name val="ＭＳ Ｐゴシック"/>
      <family val="3"/>
      <charset val="128"/>
    </font>
    <font>
      <sz val="11"/>
      <name val="ＭＳ Ｐゴシック"/>
      <family val="3"/>
      <charset val="128"/>
    </font>
    <font>
      <sz val="8"/>
      <name val="ＭＳ Ｐゴシック"/>
      <family val="3"/>
      <charset val="128"/>
    </font>
    <font>
      <b/>
      <sz val="12"/>
      <name val="ＭＳ ゴシック"/>
      <family val="3"/>
      <charset val="128"/>
    </font>
    <font>
      <b/>
      <sz val="11"/>
      <color indexed="12"/>
      <name val="ＭＳ Ｐゴシック"/>
      <family val="3"/>
      <charset val="128"/>
    </font>
    <font>
      <b/>
      <sz val="12"/>
      <name val="ＭＳ Ｐゴシック"/>
      <family val="3"/>
      <charset val="128"/>
    </font>
    <font>
      <sz val="11"/>
      <color indexed="14"/>
      <name val="ＭＳ Ｐゴシック"/>
      <family val="3"/>
      <charset val="128"/>
    </font>
    <font>
      <sz val="9"/>
      <color indexed="12"/>
      <name val="ＭＳ Ｐゴシック"/>
      <family val="3"/>
      <charset val="128"/>
    </font>
  </fonts>
  <fills count="8">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47"/>
        <bgColor indexed="64"/>
      </patternFill>
    </fill>
    <fill>
      <patternFill patternType="solid">
        <fgColor indexed="40"/>
        <bgColor indexed="64"/>
      </patternFill>
    </fill>
    <fill>
      <patternFill patternType="solid">
        <fgColor indexed="41"/>
        <bgColor indexed="64"/>
      </patternFill>
    </fill>
    <fill>
      <patternFill patternType="solid">
        <fgColor indexed="14"/>
        <bgColor indexed="64"/>
      </patternFill>
    </fill>
  </fills>
  <borders count="4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s>
  <cellStyleXfs count="3">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284">
    <xf numFmtId="0" fontId="0" fillId="0" borderId="0" xfId="0">
      <alignment vertical="center"/>
    </xf>
    <xf numFmtId="38" fontId="0" fillId="0" borderId="0" xfId="2" applyFont="1">
      <alignment vertical="center"/>
    </xf>
    <xf numFmtId="0" fontId="0" fillId="0" borderId="0" xfId="0" applyBorder="1">
      <alignment vertical="center"/>
    </xf>
    <xf numFmtId="0" fontId="4" fillId="0" borderId="0" xfId="0" applyFont="1">
      <alignment vertical="center"/>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1" xfId="0" applyBorder="1">
      <alignment vertical="center"/>
    </xf>
    <xf numFmtId="0" fontId="0" fillId="0" borderId="13" xfId="0" applyBorder="1">
      <alignment vertical="center"/>
    </xf>
    <xf numFmtId="0" fontId="0" fillId="0" borderId="10" xfId="0" applyBorder="1">
      <alignment vertical="center"/>
    </xf>
    <xf numFmtId="0" fontId="0" fillId="0" borderId="13" xfId="0" applyBorder="1" applyAlignment="1">
      <alignment horizontal="center" vertical="center"/>
    </xf>
    <xf numFmtId="0" fontId="0" fillId="0" borderId="14" xfId="0" applyBorder="1" applyAlignment="1">
      <alignment vertical="center"/>
    </xf>
    <xf numFmtId="0" fontId="0" fillId="0" borderId="0" xfId="0" applyBorder="1" applyAlignment="1">
      <alignment vertical="center"/>
    </xf>
    <xf numFmtId="0" fontId="0" fillId="0" borderId="15" xfId="0" applyBorder="1" applyAlignment="1">
      <alignment vertical="center"/>
    </xf>
    <xf numFmtId="0" fontId="0" fillId="0" borderId="16" xfId="0" applyBorder="1" applyAlignment="1">
      <alignment horizontal="center" vertical="center"/>
    </xf>
    <xf numFmtId="0" fontId="0" fillId="0" borderId="17" xfId="0" applyBorder="1" applyAlignment="1">
      <alignment horizontal="center" vertical="center"/>
    </xf>
    <xf numFmtId="0" fontId="1" fillId="0" borderId="0" xfId="0" applyFont="1">
      <alignment vertical="center"/>
    </xf>
    <xf numFmtId="0" fontId="1" fillId="0" borderId="5" xfId="0" applyFont="1" applyBorder="1">
      <alignment vertical="center"/>
    </xf>
    <xf numFmtId="0" fontId="0" fillId="0" borderId="9" xfId="0" applyBorder="1">
      <alignment vertical="center"/>
    </xf>
    <xf numFmtId="0" fontId="3" fillId="2" borderId="12" xfId="0" applyFont="1" applyFill="1" applyBorder="1" applyAlignment="1">
      <alignment horizontal="center" vertical="center"/>
    </xf>
    <xf numFmtId="176" fontId="3" fillId="2" borderId="12" xfId="0" applyNumberFormat="1" applyFont="1" applyFill="1" applyBorder="1">
      <alignment vertical="center"/>
    </xf>
    <xf numFmtId="0" fontId="3" fillId="2" borderId="7" xfId="0" applyFont="1" applyFill="1" applyBorder="1" applyAlignment="1">
      <alignment horizontal="center" vertical="center"/>
    </xf>
    <xf numFmtId="176" fontId="3" fillId="2" borderId="7" xfId="0" applyNumberFormat="1" applyFont="1" applyFill="1" applyBorder="1">
      <alignment vertical="center"/>
    </xf>
    <xf numFmtId="0" fontId="3" fillId="3" borderId="12" xfId="0" applyFont="1" applyFill="1" applyBorder="1" applyAlignment="1">
      <alignment horizontal="center" vertical="center"/>
    </xf>
    <xf numFmtId="0" fontId="3" fillId="3" borderId="8" xfId="0" applyFont="1" applyFill="1" applyBorder="1" applyAlignment="1">
      <alignment horizontal="center" vertical="center"/>
    </xf>
    <xf numFmtId="176" fontId="3" fillId="3" borderId="12" xfId="0" applyNumberFormat="1" applyFont="1" applyFill="1" applyBorder="1">
      <alignment vertical="center"/>
    </xf>
    <xf numFmtId="176" fontId="3" fillId="3" borderId="8" xfId="0" applyNumberFormat="1" applyFont="1" applyFill="1" applyBorder="1">
      <alignment vertical="center"/>
    </xf>
    <xf numFmtId="176" fontId="3" fillId="3" borderId="7" xfId="0" applyNumberFormat="1" applyFont="1" applyFill="1" applyBorder="1">
      <alignment vertical="center"/>
    </xf>
    <xf numFmtId="0" fontId="3" fillId="4" borderId="12" xfId="0" applyFont="1" applyFill="1" applyBorder="1" applyAlignment="1">
      <alignment horizontal="center" vertical="center"/>
    </xf>
    <xf numFmtId="176" fontId="3" fillId="4" borderId="12" xfId="0" applyNumberFormat="1" applyFont="1" applyFill="1" applyBorder="1">
      <alignment vertical="center"/>
    </xf>
    <xf numFmtId="176" fontId="3" fillId="4" borderId="8" xfId="0" applyNumberFormat="1" applyFont="1" applyFill="1" applyBorder="1">
      <alignment vertical="center"/>
    </xf>
    <xf numFmtId="176" fontId="3" fillId="4" borderId="7" xfId="0" applyNumberFormat="1" applyFont="1" applyFill="1" applyBorder="1">
      <alignment vertical="center"/>
    </xf>
    <xf numFmtId="0" fontId="3" fillId="0" borderId="12" xfId="0" applyFont="1" applyFill="1" applyBorder="1" applyAlignment="1">
      <alignment horizontal="center" vertical="center"/>
    </xf>
    <xf numFmtId="0" fontId="0" fillId="0" borderId="0" xfId="0" applyFill="1" applyBorder="1" applyAlignment="1">
      <alignment horizontal="center" vertical="center"/>
    </xf>
    <xf numFmtId="38" fontId="0" fillId="0" borderId="0" xfId="2" quotePrefix="1" applyFont="1" applyFill="1">
      <alignment vertical="center"/>
    </xf>
    <xf numFmtId="38" fontId="0" fillId="5" borderId="12" xfId="2" applyFont="1" applyFill="1" applyBorder="1">
      <alignment vertical="center"/>
    </xf>
    <xf numFmtId="10" fontId="0" fillId="0" borderId="0" xfId="0" applyNumberFormat="1" applyAlignment="1">
      <alignment vertical="center"/>
    </xf>
    <xf numFmtId="0" fontId="17" fillId="0" borderId="18" xfId="0" applyFont="1" applyBorder="1" applyAlignment="1">
      <alignment horizontal="center" vertical="center"/>
    </xf>
    <xf numFmtId="0" fontId="17" fillId="0" borderId="19" xfId="0" applyFont="1" applyBorder="1" applyAlignment="1">
      <alignment horizontal="center" vertical="center"/>
    </xf>
    <xf numFmtId="0" fontId="17" fillId="0" borderId="11" xfId="0" applyFont="1" applyBorder="1" applyAlignment="1">
      <alignment horizontal="center" vertical="center"/>
    </xf>
    <xf numFmtId="0" fontId="17" fillId="0" borderId="13" xfId="0" applyFont="1" applyBorder="1" applyAlignment="1">
      <alignment horizontal="center" vertical="center"/>
    </xf>
    <xf numFmtId="0" fontId="17" fillId="0" borderId="12" xfId="0" applyFont="1" applyBorder="1" applyAlignment="1">
      <alignment horizontal="center" vertical="center"/>
    </xf>
    <xf numFmtId="0" fontId="17" fillId="0" borderId="10" xfId="0" applyFont="1" applyBorder="1" applyAlignment="1">
      <alignment horizontal="center" vertical="center"/>
    </xf>
    <xf numFmtId="38" fontId="17" fillId="0" borderId="10" xfId="0" applyNumberFormat="1" applyFont="1" applyBorder="1" applyAlignment="1">
      <alignment horizontal="center" vertical="center"/>
    </xf>
    <xf numFmtId="0" fontId="18" fillId="0" borderId="8" xfId="0" applyNumberFormat="1" applyFont="1" applyBorder="1" applyAlignment="1">
      <alignment horizontal="center" vertical="center"/>
    </xf>
    <xf numFmtId="38" fontId="0" fillId="4" borderId="12" xfId="2" applyFont="1" applyFill="1" applyBorder="1" applyProtection="1">
      <alignment vertical="center"/>
    </xf>
    <xf numFmtId="38" fontId="22" fillId="4" borderId="12" xfId="2" applyFont="1" applyFill="1" applyBorder="1" applyAlignment="1" applyProtection="1">
      <alignment horizontal="center" vertical="center"/>
    </xf>
    <xf numFmtId="38" fontId="0" fillId="0" borderId="0" xfId="2" applyFont="1" applyFill="1" applyBorder="1" applyProtection="1">
      <alignment vertical="center"/>
    </xf>
    <xf numFmtId="38" fontId="22" fillId="0" borderId="9" xfId="2" applyFont="1" applyFill="1" applyBorder="1" applyAlignment="1" applyProtection="1">
      <alignment horizontal="center" vertical="center"/>
    </xf>
    <xf numFmtId="38" fontId="0" fillId="0" borderId="9" xfId="2" applyFont="1" applyFill="1" applyBorder="1" applyProtection="1">
      <alignment vertical="center"/>
    </xf>
    <xf numFmtId="49" fontId="24" fillId="6" borderId="20" xfId="0" applyNumberFormat="1" applyFont="1" applyFill="1" applyBorder="1" applyAlignment="1" applyProtection="1">
      <alignment horizontal="right" vertical="center"/>
      <protection locked="0"/>
    </xf>
    <xf numFmtId="49" fontId="24" fillId="6" borderId="21" xfId="0" applyNumberFormat="1" applyFont="1" applyFill="1" applyBorder="1" applyAlignment="1" applyProtection="1">
      <alignment horizontal="right" vertical="center"/>
      <protection locked="0"/>
    </xf>
    <xf numFmtId="0" fontId="24" fillId="6" borderId="21" xfId="0" applyFont="1" applyFill="1" applyBorder="1" applyAlignment="1" applyProtection="1">
      <alignment horizontal="right" vertical="center"/>
      <protection locked="0"/>
    </xf>
    <xf numFmtId="38" fontId="24" fillId="6" borderId="21" xfId="2" applyFont="1" applyFill="1" applyBorder="1" applyProtection="1">
      <alignment vertical="center"/>
      <protection locked="0"/>
    </xf>
    <xf numFmtId="38" fontId="24" fillId="6" borderId="22" xfId="2" applyFont="1" applyFill="1" applyBorder="1" applyProtection="1">
      <alignment vertical="center"/>
      <protection locked="0"/>
    </xf>
    <xf numFmtId="0" fontId="19" fillId="0" borderId="0" xfId="0" applyFont="1" applyFill="1" applyAlignment="1" applyProtection="1">
      <alignment horizontal="center" vertical="center"/>
    </xf>
    <xf numFmtId="0" fontId="19" fillId="0" borderId="0" xfId="0" applyFont="1" applyFill="1" applyProtection="1">
      <alignment vertical="center"/>
    </xf>
    <xf numFmtId="49" fontId="19" fillId="0" borderId="0" xfId="0" applyNumberFormat="1" applyFont="1" applyFill="1" applyBorder="1" applyAlignment="1" applyProtection="1">
      <alignment horizontal="right" vertical="center"/>
    </xf>
    <xf numFmtId="0" fontId="11" fillId="0" borderId="0" xfId="0" applyFont="1" applyFill="1" applyProtection="1">
      <alignment vertical="center"/>
    </xf>
    <xf numFmtId="0" fontId="0" fillId="0" borderId="0" xfId="0" applyProtection="1">
      <alignment vertical="center"/>
    </xf>
    <xf numFmtId="0" fontId="19" fillId="0" borderId="0" xfId="0" applyFont="1" applyFill="1" applyBorder="1" applyAlignment="1" applyProtection="1">
      <alignment horizontal="right" vertical="center"/>
    </xf>
    <xf numFmtId="38" fontId="22" fillId="0" borderId="0" xfId="2" applyFont="1" applyFill="1" applyBorder="1" applyAlignment="1" applyProtection="1">
      <alignment horizontal="center" vertical="center"/>
    </xf>
    <xf numFmtId="0" fontId="20" fillId="0" borderId="0" xfId="0" applyFont="1" applyFill="1" applyProtection="1">
      <alignment vertical="center"/>
    </xf>
    <xf numFmtId="38" fontId="19" fillId="0" borderId="0" xfId="2" applyFont="1" applyFill="1" applyBorder="1" applyProtection="1">
      <alignment vertical="center"/>
    </xf>
    <xf numFmtId="0" fontId="0" fillId="0" borderId="0" xfId="0" applyFill="1" applyProtection="1">
      <alignment vertical="center"/>
    </xf>
    <xf numFmtId="0" fontId="7" fillId="0" borderId="20" xfId="0" applyFont="1" applyFill="1" applyBorder="1" applyAlignment="1" applyProtection="1">
      <alignment horizontal="center" vertical="center"/>
    </xf>
    <xf numFmtId="0" fontId="0" fillId="0" borderId="0" xfId="0" applyFill="1" applyBorder="1" applyAlignment="1" applyProtection="1">
      <alignment horizontal="center" vertical="center"/>
    </xf>
    <xf numFmtId="0" fontId="19" fillId="0" borderId="0" xfId="0" applyFont="1" applyFill="1" applyAlignment="1" applyProtection="1">
      <alignment horizontal="right" vertical="center"/>
    </xf>
    <xf numFmtId="0" fontId="0" fillId="0" borderId="0" xfId="0" applyFill="1" applyAlignment="1" applyProtection="1">
      <alignment horizontal="center" vertical="center"/>
    </xf>
    <xf numFmtId="0" fontId="0" fillId="0" borderId="0" xfId="0" applyFill="1" applyAlignment="1" applyProtection="1">
      <alignment horizontal="right" vertical="center"/>
    </xf>
    <xf numFmtId="38" fontId="0" fillId="4" borderId="23" xfId="2" applyFont="1" applyFill="1" applyBorder="1" applyProtection="1">
      <alignment vertical="center"/>
    </xf>
    <xf numFmtId="38" fontId="0" fillId="0" borderId="0" xfId="2" applyFont="1" applyFill="1" applyBorder="1" applyAlignment="1" applyProtection="1">
      <alignment vertical="center"/>
    </xf>
    <xf numFmtId="0" fontId="1" fillId="0" borderId="0" xfId="0" applyFont="1" applyFill="1" applyAlignment="1" applyProtection="1">
      <alignment horizontal="right" vertical="center"/>
    </xf>
    <xf numFmtId="38" fontId="1" fillId="4" borderId="12" xfId="2" applyFont="1" applyFill="1" applyBorder="1" applyProtection="1">
      <alignment vertical="center"/>
    </xf>
    <xf numFmtId="38" fontId="8" fillId="0" borderId="0" xfId="0" applyNumberFormat="1" applyFont="1" applyFill="1" applyProtection="1">
      <alignment vertical="center"/>
    </xf>
    <xf numFmtId="38" fontId="21" fillId="0" borderId="0" xfId="2" applyFont="1" applyFill="1" applyBorder="1" applyAlignment="1" applyProtection="1">
      <alignment horizontal="center" vertical="center"/>
    </xf>
    <xf numFmtId="38" fontId="12" fillId="4" borderId="24" xfId="2" applyFont="1" applyFill="1" applyBorder="1" applyProtection="1">
      <alignment vertical="center"/>
    </xf>
    <xf numFmtId="38" fontId="12" fillId="0" borderId="0" xfId="2" applyFont="1" applyFill="1" applyBorder="1" applyProtection="1">
      <alignment vertical="center"/>
    </xf>
    <xf numFmtId="38" fontId="23" fillId="0" borderId="0" xfId="2" applyFont="1" applyFill="1" applyBorder="1" applyProtection="1">
      <alignment vertical="center"/>
    </xf>
    <xf numFmtId="38" fontId="13" fillId="0" borderId="0" xfId="2" applyFont="1" applyFill="1" applyProtection="1">
      <alignment vertical="center"/>
    </xf>
    <xf numFmtId="0" fontId="24" fillId="0" borderId="0" xfId="0" applyFont="1" applyFill="1" applyAlignment="1" applyProtection="1">
      <alignment vertical="center"/>
    </xf>
    <xf numFmtId="0" fontId="1" fillId="0" borderId="0" xfId="0" applyFont="1" applyFill="1" applyProtection="1">
      <alignment vertical="center"/>
    </xf>
    <xf numFmtId="38" fontId="13" fillId="0" borderId="0" xfId="2" applyFont="1" applyFill="1" applyBorder="1" applyProtection="1">
      <alignment vertical="center"/>
    </xf>
    <xf numFmtId="0" fontId="21" fillId="0" borderId="0" xfId="0" applyFont="1" applyFill="1" applyProtection="1">
      <alignment vertical="center"/>
    </xf>
    <xf numFmtId="0" fontId="9" fillId="0" borderId="0" xfId="0" applyFont="1" applyFill="1" applyProtection="1">
      <alignment vertical="center"/>
    </xf>
    <xf numFmtId="38" fontId="12" fillId="0" borderId="25" xfId="2" applyFont="1" applyFill="1" applyBorder="1" applyProtection="1">
      <alignment vertical="center"/>
    </xf>
    <xf numFmtId="38" fontId="12" fillId="4" borderId="24" xfId="0" applyNumberFormat="1" applyFont="1" applyFill="1" applyBorder="1" applyProtection="1">
      <alignment vertical="center"/>
    </xf>
    <xf numFmtId="38" fontId="12" fillId="0" borderId="0" xfId="0" applyNumberFormat="1" applyFont="1" applyFill="1" applyBorder="1" applyProtection="1">
      <alignment vertical="center"/>
    </xf>
    <xf numFmtId="0" fontId="0" fillId="0" borderId="0" xfId="0" applyAlignment="1" applyProtection="1">
      <alignment horizontal="center" vertical="center"/>
    </xf>
    <xf numFmtId="0" fontId="0" fillId="0" borderId="0" xfId="0" quotePrefix="1" applyProtection="1">
      <alignment vertical="center"/>
    </xf>
    <xf numFmtId="0" fontId="19" fillId="0" borderId="0" xfId="0" applyFont="1">
      <alignment vertical="center"/>
    </xf>
    <xf numFmtId="38" fontId="19" fillId="0" borderId="0" xfId="2" applyFont="1">
      <alignment vertical="center"/>
    </xf>
    <xf numFmtId="10" fontId="19" fillId="0" borderId="0" xfId="1" applyNumberFormat="1" applyFont="1">
      <alignment vertical="center"/>
    </xf>
    <xf numFmtId="38" fontId="19" fillId="0" borderId="0" xfId="2" applyFont="1" applyFill="1">
      <alignment vertical="center"/>
    </xf>
    <xf numFmtId="0" fontId="0" fillId="5" borderId="26" xfId="0" applyFill="1" applyBorder="1" applyAlignment="1">
      <alignment horizontal="center" vertical="center" wrapText="1"/>
    </xf>
    <xf numFmtId="0" fontId="0" fillId="5" borderId="27" xfId="0" applyFill="1" applyBorder="1" applyAlignment="1">
      <alignment horizontal="center" vertical="center" wrapText="1"/>
    </xf>
    <xf numFmtId="38" fontId="0" fillId="5" borderId="28" xfId="2" applyFont="1" applyFill="1" applyBorder="1">
      <alignment vertical="center"/>
    </xf>
    <xf numFmtId="38" fontId="0" fillId="5" borderId="29" xfId="2" applyFont="1" applyFill="1" applyBorder="1">
      <alignment vertical="center"/>
    </xf>
    <xf numFmtId="38" fontId="0" fillId="5" borderId="30" xfId="2" applyFont="1" applyFill="1" applyBorder="1">
      <alignment vertical="center"/>
    </xf>
    <xf numFmtId="38" fontId="0" fillId="5" borderId="31" xfId="2" applyFont="1" applyFill="1" applyBorder="1">
      <alignment vertical="center"/>
    </xf>
    <xf numFmtId="0" fontId="0" fillId="5" borderId="12" xfId="0" applyFill="1" applyBorder="1">
      <alignment vertical="center"/>
    </xf>
    <xf numFmtId="38" fontId="0" fillId="5" borderId="12" xfId="0" applyNumberFormat="1" applyFill="1" applyBorder="1">
      <alignment vertical="center"/>
    </xf>
    <xf numFmtId="38" fontId="0" fillId="5" borderId="32" xfId="2" applyFont="1" applyFill="1" applyBorder="1">
      <alignment vertical="center"/>
    </xf>
    <xf numFmtId="38" fontId="26" fillId="0" borderId="0" xfId="2" applyFont="1">
      <alignment vertical="center"/>
    </xf>
    <xf numFmtId="0" fontId="0" fillId="2" borderId="26" xfId="0" applyFill="1" applyBorder="1" applyAlignment="1">
      <alignment horizontal="center" vertical="center" wrapText="1"/>
    </xf>
    <xf numFmtId="0" fontId="0" fillId="2" borderId="27" xfId="0" applyFill="1" applyBorder="1" applyAlignment="1">
      <alignment horizontal="center" vertical="center" wrapText="1"/>
    </xf>
    <xf numFmtId="38" fontId="0" fillId="2" borderId="28" xfId="2" applyFont="1" applyFill="1" applyBorder="1">
      <alignment vertical="center"/>
    </xf>
    <xf numFmtId="38" fontId="0" fillId="2" borderId="29" xfId="2" applyFont="1" applyFill="1" applyBorder="1">
      <alignment vertical="center"/>
    </xf>
    <xf numFmtId="38" fontId="0" fillId="2" borderId="30" xfId="2" applyFont="1" applyFill="1" applyBorder="1">
      <alignment vertical="center"/>
    </xf>
    <xf numFmtId="38" fontId="0" fillId="2" borderId="31" xfId="2" applyFont="1" applyFill="1" applyBorder="1">
      <alignment vertical="center"/>
    </xf>
    <xf numFmtId="0" fontId="0" fillId="2" borderId="12" xfId="0" applyFill="1" applyBorder="1">
      <alignment vertical="center"/>
    </xf>
    <xf numFmtId="38" fontId="0" fillId="2" borderId="0" xfId="2" applyFont="1" applyFill="1">
      <alignment vertical="center"/>
    </xf>
    <xf numFmtId="38" fontId="0" fillId="2" borderId="12" xfId="2" applyFont="1" applyFill="1" applyBorder="1">
      <alignment vertical="center"/>
    </xf>
    <xf numFmtId="38" fontId="0" fillId="2" borderId="20" xfId="2" quotePrefix="1" applyFont="1" applyFill="1" applyBorder="1">
      <alignment vertical="center"/>
    </xf>
    <xf numFmtId="38" fontId="0" fillId="2" borderId="22" xfId="2" applyFont="1" applyFill="1" applyBorder="1">
      <alignment vertical="center"/>
    </xf>
    <xf numFmtId="177" fontId="0" fillId="2" borderId="23" xfId="2" applyNumberFormat="1" applyFont="1" applyFill="1" applyBorder="1">
      <alignment vertical="center"/>
    </xf>
    <xf numFmtId="38" fontId="0" fillId="2" borderId="12" xfId="2" applyNumberFormat="1" applyFont="1" applyFill="1" applyBorder="1">
      <alignment vertical="center"/>
    </xf>
    <xf numFmtId="38" fontId="0" fillId="2" borderId="12" xfId="2" quotePrefix="1" applyFont="1" applyFill="1" applyBorder="1">
      <alignment vertical="center"/>
    </xf>
    <xf numFmtId="10" fontId="0" fillId="2" borderId="12" xfId="1" quotePrefix="1" applyNumberFormat="1" applyFont="1" applyFill="1" applyBorder="1">
      <alignment vertical="center"/>
    </xf>
    <xf numFmtId="38" fontId="0" fillId="2" borderId="21" xfId="2" quotePrefix="1" applyFont="1" applyFill="1" applyBorder="1">
      <alignment vertical="center"/>
    </xf>
    <xf numFmtId="38" fontId="0" fillId="2" borderId="22" xfId="2" quotePrefix="1" applyFont="1" applyFill="1" applyBorder="1">
      <alignment vertical="center"/>
    </xf>
    <xf numFmtId="38" fontId="0" fillId="2" borderId="23" xfId="2" applyFont="1" applyFill="1" applyBorder="1">
      <alignment vertical="center"/>
    </xf>
    <xf numFmtId="38" fontId="0" fillId="2" borderId="12" xfId="0" applyNumberFormat="1" applyFill="1" applyBorder="1">
      <alignment vertical="center"/>
    </xf>
    <xf numFmtId="0" fontId="3" fillId="3" borderId="7" xfId="0" applyFont="1" applyFill="1" applyBorder="1" applyAlignment="1">
      <alignment horizontal="center" vertical="center"/>
    </xf>
    <xf numFmtId="0" fontId="3" fillId="4" borderId="8" xfId="0" applyFont="1" applyFill="1" applyBorder="1" applyAlignment="1">
      <alignment horizontal="center" vertical="center"/>
    </xf>
    <xf numFmtId="0" fontId="3" fillId="4" borderId="7" xfId="0" applyFont="1" applyFill="1" applyBorder="1" applyAlignment="1">
      <alignment horizontal="center" vertical="center"/>
    </xf>
    <xf numFmtId="10" fontId="0" fillId="2" borderId="7" xfId="0" applyNumberFormat="1" applyFill="1" applyBorder="1" applyAlignment="1">
      <alignment vertical="center"/>
    </xf>
    <xf numFmtId="10" fontId="0" fillId="2" borderId="9" xfId="0" applyNumberFormat="1" applyFill="1" applyBorder="1" applyAlignment="1">
      <alignment horizontal="right" vertical="center"/>
    </xf>
    <xf numFmtId="10" fontId="0" fillId="3" borderId="7" xfId="0" applyNumberFormat="1" applyFill="1" applyBorder="1" applyAlignment="1">
      <alignment vertical="center"/>
    </xf>
    <xf numFmtId="10" fontId="0" fillId="3" borderId="9" xfId="0" applyNumberFormat="1" applyFill="1" applyBorder="1" applyAlignment="1">
      <alignment horizontal="right" vertical="center"/>
    </xf>
    <xf numFmtId="178" fontId="0" fillId="3" borderId="8" xfId="0" applyNumberFormat="1" applyFill="1" applyBorder="1" applyAlignment="1">
      <alignment horizontal="left" vertical="center"/>
    </xf>
    <xf numFmtId="178" fontId="0" fillId="2" borderId="8" xfId="0" applyNumberFormat="1" applyFill="1" applyBorder="1" applyAlignment="1">
      <alignment horizontal="left" vertical="center"/>
    </xf>
    <xf numFmtId="10" fontId="0" fillId="4" borderId="7" xfId="0" applyNumberFormat="1" applyFill="1" applyBorder="1" applyAlignment="1">
      <alignment vertical="center"/>
    </xf>
    <xf numFmtId="10" fontId="0" fillId="4" borderId="9" xfId="0" applyNumberFormat="1" applyFill="1" applyBorder="1" applyAlignment="1">
      <alignment horizontal="right" vertical="center"/>
    </xf>
    <xf numFmtId="178" fontId="0" fillId="4" borderId="8" xfId="0" applyNumberFormat="1" applyFill="1" applyBorder="1" applyAlignment="1">
      <alignment horizontal="left" vertical="center"/>
    </xf>
    <xf numFmtId="176" fontId="3" fillId="2" borderId="12" xfId="0" quotePrefix="1" applyNumberFormat="1" applyFont="1" applyFill="1" applyBorder="1">
      <alignment vertical="center"/>
    </xf>
    <xf numFmtId="176" fontId="0" fillId="0" borderId="0" xfId="0" applyNumberFormat="1">
      <alignment vertical="center"/>
    </xf>
    <xf numFmtId="10" fontId="10" fillId="7" borderId="7" xfId="1" applyNumberFormat="1" applyFont="1" applyFill="1" applyBorder="1" applyAlignment="1">
      <alignment vertical="center"/>
    </xf>
    <xf numFmtId="179" fontId="0" fillId="0" borderId="0" xfId="0" applyNumberFormat="1">
      <alignment vertical="center"/>
    </xf>
    <xf numFmtId="10" fontId="26" fillId="0" borderId="0" xfId="0" applyNumberFormat="1" applyFont="1" applyAlignment="1">
      <alignment horizontal="left" vertical="center"/>
    </xf>
    <xf numFmtId="0" fontId="0" fillId="0" borderId="0" xfId="0" applyAlignment="1">
      <alignment horizontal="left"/>
    </xf>
    <xf numFmtId="178" fontId="26" fillId="0" borderId="0" xfId="0" applyNumberFormat="1" applyFont="1" applyAlignment="1">
      <alignment horizontal="left" vertical="center"/>
    </xf>
    <xf numFmtId="38" fontId="1" fillId="0" borderId="2" xfId="2" applyFont="1" applyFill="1" applyBorder="1" applyProtection="1">
      <alignment vertical="center"/>
    </xf>
    <xf numFmtId="38" fontId="1" fillId="0" borderId="2" xfId="2" applyFont="1" applyFill="1" applyBorder="1" applyAlignment="1" applyProtection="1">
      <alignment vertical="center"/>
    </xf>
    <xf numFmtId="38" fontId="10" fillId="0" borderId="0" xfId="2" applyFont="1" applyFill="1" applyBorder="1" applyAlignment="1" applyProtection="1">
      <alignment horizontal="center" vertical="center"/>
    </xf>
    <xf numFmtId="0" fontId="10" fillId="0" borderId="0" xfId="2" applyNumberFormat="1" applyFont="1" applyFill="1" applyBorder="1" applyProtection="1">
      <alignment vertical="center"/>
    </xf>
    <xf numFmtId="38" fontId="10" fillId="0" borderId="0" xfId="2" applyFont="1" applyFill="1" applyBorder="1" applyProtection="1">
      <alignment vertical="center"/>
    </xf>
    <xf numFmtId="38" fontId="21" fillId="0" borderId="33" xfId="2" applyFont="1" applyFill="1" applyBorder="1" applyAlignment="1" applyProtection="1">
      <alignment horizontal="left" vertical="center"/>
    </xf>
    <xf numFmtId="180" fontId="24" fillId="6" borderId="20" xfId="2" applyNumberFormat="1" applyFont="1" applyFill="1" applyBorder="1" applyProtection="1">
      <alignment vertical="center"/>
      <protection locked="0"/>
    </xf>
    <xf numFmtId="181" fontId="24" fillId="6" borderId="21" xfId="2" applyNumberFormat="1" applyFont="1" applyFill="1" applyBorder="1" applyProtection="1">
      <alignment vertical="center"/>
      <protection locked="0"/>
    </xf>
    <xf numFmtId="180" fontId="24" fillId="6" borderId="21" xfId="2" applyNumberFormat="1" applyFont="1" applyFill="1" applyBorder="1" applyProtection="1">
      <alignment vertical="center"/>
      <protection locked="0"/>
    </xf>
    <xf numFmtId="181" fontId="24" fillId="6" borderId="22" xfId="2" applyNumberFormat="1" applyFont="1" applyFill="1" applyBorder="1" applyProtection="1">
      <alignment vertical="center"/>
      <protection locked="0"/>
    </xf>
    <xf numFmtId="0" fontId="6" fillId="0" borderId="0" xfId="0" applyFont="1">
      <alignment vertical="center"/>
    </xf>
    <xf numFmtId="56" fontId="6" fillId="0" borderId="0" xfId="0" applyNumberFormat="1" applyFont="1">
      <alignment vertical="center"/>
    </xf>
    <xf numFmtId="0" fontId="6" fillId="0" borderId="0" xfId="0" applyFont="1" applyFill="1">
      <alignment vertical="center"/>
    </xf>
    <xf numFmtId="0" fontId="6" fillId="0" borderId="0" xfId="0" applyFont="1" applyFill="1" applyAlignment="1">
      <alignment horizontal="right" vertical="center"/>
    </xf>
    <xf numFmtId="0" fontId="6" fillId="0" borderId="0" xfId="0" applyFont="1" applyAlignment="1">
      <alignment vertical="center" wrapText="1"/>
    </xf>
    <xf numFmtId="38" fontId="1" fillId="0" borderId="33" xfId="2" applyFont="1" applyFill="1" applyBorder="1" applyAlignment="1" applyProtection="1">
      <alignment horizontal="left" vertical="center"/>
    </xf>
    <xf numFmtId="0" fontId="24" fillId="0" borderId="0" xfId="0" applyFont="1" applyFill="1" applyProtection="1">
      <alignment vertical="center"/>
    </xf>
    <xf numFmtId="38" fontId="0" fillId="0" borderId="33" xfId="2" applyFont="1" applyFill="1" applyBorder="1" applyAlignment="1" applyProtection="1">
      <alignment horizontal="left" vertical="center"/>
    </xf>
    <xf numFmtId="38" fontId="8" fillId="0" borderId="33" xfId="2" applyFont="1" applyFill="1" applyBorder="1" applyAlignment="1" applyProtection="1">
      <alignment horizontal="left" vertical="center"/>
    </xf>
    <xf numFmtId="38" fontId="8" fillId="0" borderId="0" xfId="2" applyFont="1" applyFill="1" applyBorder="1" applyAlignment="1" applyProtection="1">
      <alignment horizontal="left" vertical="center"/>
    </xf>
    <xf numFmtId="0" fontId="25" fillId="4" borderId="0" xfId="0" applyFont="1" applyFill="1" applyAlignment="1" applyProtection="1">
      <alignment vertical="center"/>
    </xf>
    <xf numFmtId="0" fontId="25" fillId="4" borderId="36" xfId="0" applyFont="1" applyFill="1" applyBorder="1" applyAlignment="1" applyProtection="1">
      <alignment vertical="center"/>
    </xf>
    <xf numFmtId="38" fontId="12" fillId="0" borderId="33" xfId="2" applyFont="1" applyFill="1" applyBorder="1" applyAlignment="1" applyProtection="1">
      <alignment horizontal="left" vertical="center"/>
    </xf>
    <xf numFmtId="38" fontId="12" fillId="0" borderId="0" xfId="2" applyFont="1" applyFill="1" applyBorder="1" applyAlignment="1" applyProtection="1">
      <alignment horizontal="left" vertical="center"/>
    </xf>
    <xf numFmtId="38" fontId="1" fillId="4" borderId="12" xfId="2" applyFont="1" applyFill="1" applyBorder="1" applyAlignment="1" applyProtection="1">
      <alignment vertical="center"/>
    </xf>
    <xf numFmtId="0" fontId="23" fillId="4" borderId="0" xfId="0" applyFont="1" applyFill="1" applyAlignment="1" applyProtection="1">
      <alignment vertical="center"/>
    </xf>
    <xf numFmtId="0" fontId="23" fillId="4" borderId="36" xfId="0" applyFont="1" applyFill="1" applyBorder="1" applyAlignment="1" applyProtection="1">
      <alignment vertical="center"/>
    </xf>
    <xf numFmtId="0" fontId="7" fillId="0" borderId="35" xfId="0" applyFont="1" applyFill="1" applyBorder="1" applyAlignment="1" applyProtection="1">
      <alignment horizontal="center" vertical="center"/>
    </xf>
    <xf numFmtId="0" fontId="7" fillId="0" borderId="27" xfId="0" applyFont="1" applyFill="1" applyBorder="1" applyAlignment="1" applyProtection="1">
      <alignment horizontal="center" vertical="center"/>
    </xf>
    <xf numFmtId="38" fontId="24" fillId="6" borderId="8" xfId="2" applyFont="1" applyFill="1" applyBorder="1" applyAlignment="1" applyProtection="1">
      <alignment vertical="center"/>
      <protection locked="0"/>
    </xf>
    <xf numFmtId="38" fontId="24" fillId="6" borderId="29" xfId="2" applyFont="1" applyFill="1" applyBorder="1" applyAlignment="1" applyProtection="1">
      <alignment vertical="center"/>
      <protection locked="0"/>
    </xf>
    <xf numFmtId="38" fontId="0" fillId="4" borderId="23" xfId="2" applyFont="1" applyFill="1" applyBorder="1" applyAlignment="1" applyProtection="1">
      <alignment vertical="center"/>
    </xf>
    <xf numFmtId="38" fontId="24" fillId="6" borderId="34" xfId="2" applyFont="1" applyFill="1" applyBorder="1" applyAlignment="1" applyProtection="1">
      <alignment vertical="center"/>
      <protection locked="0"/>
    </xf>
    <xf numFmtId="38" fontId="24" fillId="6" borderId="31" xfId="2" applyFont="1" applyFill="1" applyBorder="1" applyAlignment="1" applyProtection="1">
      <alignment vertical="center"/>
      <protection locked="0"/>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38" fontId="18" fillId="0" borderId="7" xfId="0" applyNumberFormat="1" applyFont="1" applyBorder="1" applyAlignment="1">
      <alignment vertical="center"/>
    </xf>
    <xf numFmtId="0" fontId="18" fillId="0" borderId="9" xfId="0" applyNumberFormat="1" applyFont="1" applyBorder="1" applyAlignment="1">
      <alignment vertical="center"/>
    </xf>
    <xf numFmtId="0" fontId="18" fillId="0" borderId="3" xfId="0" applyNumberFormat="1" applyFont="1" applyBorder="1" applyAlignment="1">
      <alignment horizontal="center" vertical="center"/>
    </xf>
    <xf numFmtId="0" fontId="18" fillId="0" borderId="6" xfId="0" applyNumberFormat="1" applyFont="1" applyBorder="1" applyAlignment="1">
      <alignment horizontal="center" vertical="center"/>
    </xf>
    <xf numFmtId="0" fontId="0" fillId="0" borderId="7" xfId="0" applyBorder="1" applyAlignment="1">
      <alignment horizontal="distributed" vertical="center"/>
    </xf>
    <xf numFmtId="0" fontId="0" fillId="0" borderId="9" xfId="0" applyBorder="1" applyAlignment="1">
      <alignment horizontal="distributed" vertical="center"/>
    </xf>
    <xf numFmtId="0" fontId="0" fillId="0" borderId="8" xfId="0" applyBorder="1" applyAlignment="1">
      <alignment horizontal="distributed" vertical="center"/>
    </xf>
    <xf numFmtId="38" fontId="18" fillId="0" borderId="1" xfId="0" applyNumberFormat="1" applyFont="1" applyBorder="1" applyAlignment="1">
      <alignment vertical="center"/>
    </xf>
    <xf numFmtId="38" fontId="18" fillId="0" borderId="2" xfId="0" applyNumberFormat="1" applyFont="1" applyBorder="1" applyAlignment="1">
      <alignment vertical="center"/>
    </xf>
    <xf numFmtId="38" fontId="18" fillId="0" borderId="4" xfId="0" applyNumberFormat="1" applyFont="1" applyBorder="1" applyAlignment="1">
      <alignment vertical="center"/>
    </xf>
    <xf numFmtId="38" fontId="18" fillId="0" borderId="5" xfId="0" applyNumberFormat="1" applyFont="1" applyBorder="1" applyAlignment="1">
      <alignment vertical="center"/>
    </xf>
    <xf numFmtId="38" fontId="16" fillId="0" borderId="1" xfId="0" applyNumberFormat="1" applyFont="1" applyBorder="1" applyAlignment="1">
      <alignment vertical="center"/>
    </xf>
    <xf numFmtId="0" fontId="16" fillId="0" borderId="2" xfId="0" applyNumberFormat="1" applyFont="1" applyBorder="1" applyAlignment="1">
      <alignment vertical="center"/>
    </xf>
    <xf numFmtId="0" fontId="16" fillId="0" borderId="14" xfId="0" applyNumberFormat="1" applyFont="1" applyBorder="1" applyAlignment="1">
      <alignment vertical="center"/>
    </xf>
    <xf numFmtId="0" fontId="16" fillId="0" borderId="0" xfId="0" applyNumberFormat="1" applyFont="1" applyBorder="1" applyAlignment="1">
      <alignment vertical="center"/>
    </xf>
    <xf numFmtId="0" fontId="16" fillId="0" borderId="4" xfId="0" applyNumberFormat="1" applyFont="1" applyBorder="1" applyAlignment="1">
      <alignment vertical="center"/>
    </xf>
    <xf numFmtId="0" fontId="16" fillId="0" borderId="5" xfId="0" applyNumberFormat="1" applyFont="1" applyBorder="1" applyAlignment="1">
      <alignment vertical="center"/>
    </xf>
    <xf numFmtId="0" fontId="16" fillId="0" borderId="3" xfId="0" applyNumberFormat="1" applyFont="1" applyBorder="1" applyAlignment="1">
      <alignment horizontal="center" vertical="center"/>
    </xf>
    <xf numFmtId="0" fontId="16" fillId="0" borderId="15" xfId="0" applyNumberFormat="1" applyFont="1" applyBorder="1" applyAlignment="1">
      <alignment horizontal="center" vertical="center"/>
    </xf>
    <xf numFmtId="0" fontId="16" fillId="0" borderId="6" xfId="0" applyNumberFormat="1" applyFont="1"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14" xfId="0" applyBorder="1" applyAlignment="1">
      <alignment horizontal="center" vertical="center" wrapText="1"/>
    </xf>
    <xf numFmtId="0" fontId="0" fillId="0" borderId="0" xfId="0" applyBorder="1" applyAlignment="1">
      <alignment horizontal="center" vertical="center" wrapText="1"/>
    </xf>
    <xf numFmtId="0" fontId="0" fillId="0" borderId="15"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xf>
    <xf numFmtId="0" fontId="0" fillId="0" borderId="9" xfId="0" applyBorder="1" applyAlignment="1">
      <alignment horizontal="center" vertical="center"/>
    </xf>
    <xf numFmtId="0" fontId="0" fillId="0" borderId="8" xfId="0" applyBorder="1" applyAlignment="1">
      <alignment horizontal="center" vertical="center"/>
    </xf>
    <xf numFmtId="0" fontId="0" fillId="0" borderId="14" xfId="0" applyBorder="1" applyAlignment="1">
      <alignment horizontal="center" vertical="center"/>
    </xf>
    <xf numFmtId="0" fontId="0" fillId="0" borderId="0" xfId="0" applyBorder="1" applyAlignment="1">
      <alignment horizontal="center" vertical="center"/>
    </xf>
    <xf numFmtId="0" fontId="0" fillId="0" borderId="15" xfId="0" applyBorder="1" applyAlignment="1">
      <alignment horizontal="center" vertical="center"/>
    </xf>
    <xf numFmtId="0" fontId="0" fillId="0" borderId="1" xfId="0" applyBorder="1" applyAlignment="1">
      <alignment horizontal="center" vertical="center" textRotation="255" wrapText="1"/>
    </xf>
    <xf numFmtId="0" fontId="0" fillId="0" borderId="3" xfId="0" applyBorder="1" applyAlignment="1">
      <alignment horizontal="center" vertical="center" textRotation="255" wrapText="1"/>
    </xf>
    <xf numFmtId="0" fontId="0" fillId="0" borderId="14" xfId="0" applyBorder="1" applyAlignment="1">
      <alignment horizontal="center" vertical="center" textRotation="255" wrapText="1"/>
    </xf>
    <xf numFmtId="0" fontId="0" fillId="0" borderId="15" xfId="0" applyBorder="1" applyAlignment="1">
      <alignment horizontal="center" vertical="center" textRotation="255" wrapText="1"/>
    </xf>
    <xf numFmtId="0" fontId="0" fillId="0" borderId="4" xfId="0" applyBorder="1" applyAlignment="1">
      <alignment horizontal="center" vertical="center" textRotation="255" wrapText="1"/>
    </xf>
    <xf numFmtId="0" fontId="0" fillId="0" borderId="6" xfId="0" applyBorder="1" applyAlignment="1">
      <alignment horizontal="center" vertical="center" textRotation="255" wrapText="1"/>
    </xf>
    <xf numFmtId="0" fontId="0" fillId="0" borderId="7" xfId="0" applyBorder="1" applyAlignment="1">
      <alignment horizontal="distributed" vertical="distributed"/>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38" fontId="15" fillId="0" borderId="1" xfId="0" applyNumberFormat="1"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38" fontId="15" fillId="0" borderId="1" xfId="0" applyNumberFormat="1" applyFont="1" applyBorder="1" applyAlignment="1">
      <alignment vertical="center"/>
    </xf>
    <xf numFmtId="0" fontId="15" fillId="0" borderId="2" xfId="0" applyFont="1" applyBorder="1" applyAlignment="1">
      <alignment vertical="center"/>
    </xf>
    <xf numFmtId="0" fontId="15" fillId="0" borderId="3" xfId="0" applyFont="1" applyBorder="1" applyAlignment="1">
      <alignment vertical="center"/>
    </xf>
    <xf numFmtId="0" fontId="15" fillId="0" borderId="4" xfId="0" applyFont="1" applyBorder="1" applyAlignment="1">
      <alignment vertical="center"/>
    </xf>
    <xf numFmtId="0" fontId="15" fillId="0" borderId="5" xfId="0" applyFont="1" applyBorder="1" applyAlignment="1">
      <alignment vertical="center"/>
    </xf>
    <xf numFmtId="0" fontId="15" fillId="0" borderId="6" xfId="0" applyFont="1" applyBorder="1" applyAlignment="1">
      <alignment vertical="center"/>
    </xf>
    <xf numFmtId="0" fontId="6" fillId="0" borderId="7" xfId="0" applyFont="1" applyBorder="1" applyAlignment="1">
      <alignment horizontal="center" vertical="center"/>
    </xf>
    <xf numFmtId="0" fontId="6" fillId="0" borderId="9" xfId="0" applyFont="1" applyBorder="1" applyAlignment="1">
      <alignment horizontal="center" vertical="center"/>
    </xf>
    <xf numFmtId="0" fontId="6" fillId="0" borderId="8" xfId="0" applyFont="1" applyBorder="1" applyAlignment="1">
      <alignment horizontal="center" vertical="center"/>
    </xf>
    <xf numFmtId="0" fontId="14" fillId="0" borderId="18" xfId="0" applyFont="1" applyBorder="1" applyAlignment="1">
      <alignment horizontal="center" vertical="center"/>
    </xf>
    <xf numFmtId="0" fontId="14" fillId="0" borderId="40"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xf>
    <xf numFmtId="0" fontId="14" fillId="0" borderId="19" xfId="0" applyFont="1" applyBorder="1" applyAlignment="1">
      <alignment horizontal="center" vertical="center"/>
    </xf>
    <xf numFmtId="0" fontId="14" fillId="0" borderId="37" xfId="0" applyFont="1" applyBorder="1" applyAlignment="1">
      <alignment horizontal="center" vertical="center"/>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5" fillId="0" borderId="0" xfId="0" applyFont="1" applyAlignment="1">
      <alignment horizontal="center" vertical="center"/>
    </xf>
    <xf numFmtId="0" fontId="0" fillId="0" borderId="7" xfId="0" applyBorder="1" applyAlignment="1">
      <alignment vertical="center"/>
    </xf>
    <xf numFmtId="0" fontId="0" fillId="0" borderId="9" xfId="0" applyBorder="1" applyAlignment="1">
      <alignment vertical="center"/>
    </xf>
    <xf numFmtId="0" fontId="0" fillId="0" borderId="8" xfId="0" applyBorder="1" applyAlignment="1">
      <alignment vertical="center"/>
    </xf>
    <xf numFmtId="0" fontId="17" fillId="0" borderId="19" xfId="0" applyFont="1" applyBorder="1" applyAlignment="1">
      <alignment horizontal="center" vertical="center"/>
    </xf>
    <xf numFmtId="0" fontId="17" fillId="0" borderId="37" xfId="0" applyFont="1" applyBorder="1" applyAlignment="1">
      <alignment horizontal="center" vertical="center"/>
    </xf>
    <xf numFmtId="0" fontId="17" fillId="0" borderId="38" xfId="0" applyFont="1" applyBorder="1" applyAlignment="1">
      <alignment horizontal="center" vertical="center"/>
    </xf>
    <xf numFmtId="0" fontId="17" fillId="0" borderId="39" xfId="0" applyFont="1" applyBorder="1" applyAlignment="1">
      <alignment horizontal="center" vertical="center"/>
    </xf>
    <xf numFmtId="0" fontId="17" fillId="0" borderId="18" xfId="0" applyFont="1" applyBorder="1" applyAlignment="1">
      <alignment horizontal="center" vertical="center"/>
    </xf>
    <xf numFmtId="0" fontId="17" fillId="0" borderId="40" xfId="0" applyFont="1" applyBorder="1" applyAlignment="1">
      <alignment horizontal="center" vertical="center"/>
    </xf>
    <xf numFmtId="0" fontId="6" fillId="0" borderId="36" xfId="0" applyFont="1" applyBorder="1" applyAlignment="1">
      <alignment vertical="center"/>
    </xf>
    <xf numFmtId="38" fontId="19" fillId="0" borderId="0" xfId="2" applyFont="1" applyAlignment="1">
      <alignment vertical="center"/>
    </xf>
    <xf numFmtId="10" fontId="19" fillId="0" borderId="0" xfId="0" applyNumberFormat="1" applyFont="1" applyAlignment="1">
      <alignment vertical="center" wrapText="1"/>
    </xf>
    <xf numFmtId="0" fontId="0" fillId="4" borderId="12" xfId="0" applyFill="1" applyBorder="1" applyAlignment="1">
      <alignment horizontal="center" vertical="center"/>
    </xf>
    <xf numFmtId="0" fontId="0" fillId="0" borderId="15" xfId="0" applyFill="1" applyBorder="1" applyAlignment="1">
      <alignment horizontal="center" vertical="center"/>
    </xf>
    <xf numFmtId="0" fontId="0" fillId="0" borderId="6" xfId="0" applyFill="1" applyBorder="1" applyAlignment="1">
      <alignment horizontal="center" vertical="center"/>
    </xf>
    <xf numFmtId="0" fontId="0" fillId="2" borderId="12" xfId="0" applyFill="1" applyBorder="1" applyAlignment="1">
      <alignment horizontal="center" vertical="center"/>
    </xf>
    <xf numFmtId="0" fontId="0" fillId="3" borderId="12" xfId="0" applyFill="1" applyBorder="1" applyAlignment="1">
      <alignment horizontal="center" vertical="center"/>
    </xf>
  </cellXfs>
  <cellStyles count="3">
    <cellStyle name="パーセント" xfId="1" builtinId="5"/>
    <cellStyle name="桁区切り" xfId="2" builtinId="6"/>
    <cellStyle name="標準" xfId="0" builtinId="0"/>
  </cellStyles>
  <dxfs count="7">
    <dxf>
      <fill>
        <patternFill>
          <bgColor indexed="13"/>
        </patternFill>
      </fill>
    </dxf>
    <dxf>
      <font>
        <b/>
        <i val="0"/>
        <condense val="0"/>
        <extend val="0"/>
        <color indexed="10"/>
      </font>
      <fill>
        <patternFill>
          <bgColor indexed="13"/>
        </patternFill>
      </fill>
    </dxf>
    <dxf>
      <font>
        <b/>
        <i val="0"/>
        <condense val="0"/>
        <extend val="0"/>
      </font>
      <fill>
        <patternFill>
          <bgColor indexed="13"/>
        </patternFill>
      </fill>
    </dxf>
    <dxf>
      <font>
        <condense val="0"/>
        <extend val="0"/>
        <color indexed="8"/>
      </font>
    </dxf>
    <dxf>
      <font>
        <condense val="0"/>
        <extend val="0"/>
        <color indexed="8"/>
      </font>
    </dxf>
    <dxf>
      <font>
        <b/>
        <i val="0"/>
        <strike val="0"/>
        <condense val="0"/>
        <extend val="0"/>
        <color indexed="10"/>
      </font>
      <fill>
        <patternFill>
          <bgColor indexed="13"/>
        </patternFill>
      </fill>
    </dxf>
    <dxf>
      <font>
        <b/>
        <i val="0"/>
        <condense val="0"/>
        <extend val="0"/>
      </font>
      <fill>
        <patternFill>
          <bgColor indexed="1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7</xdr:row>
      <xdr:rowOff>95249</xdr:rowOff>
    </xdr:from>
    <xdr:to>
      <xdr:col>1</xdr:col>
      <xdr:colOff>2000250</xdr:colOff>
      <xdr:row>11</xdr:row>
      <xdr:rowOff>28575</xdr:rowOff>
    </xdr:to>
    <xdr:sp macro="" textlink="">
      <xdr:nvSpPr>
        <xdr:cNvPr id="2075" name="Text Box 27">
          <a:extLst>
            <a:ext uri="{FF2B5EF4-FFF2-40B4-BE49-F238E27FC236}">
              <a16:creationId xmlns:a16="http://schemas.microsoft.com/office/drawing/2014/main" id="{00000000-0008-0000-0000-00001B080000}"/>
            </a:ext>
          </a:extLst>
        </xdr:cNvPr>
        <xdr:cNvSpPr txBox="1">
          <a:spLocks noChangeArrowheads="1"/>
        </xdr:cNvSpPr>
      </xdr:nvSpPr>
      <xdr:spPr bwMode="auto">
        <a:xfrm>
          <a:off x="257175" y="1428749"/>
          <a:ext cx="2000250" cy="571501"/>
        </a:xfrm>
        <a:prstGeom prst="rect">
          <a:avLst/>
        </a:prstGeom>
        <a:noFill/>
        <a:ln w="9525">
          <a:noFill/>
          <a:miter lim="800000"/>
          <a:headEnd/>
          <a:tailEnd/>
        </a:ln>
      </xdr:spPr>
      <xdr:txBody>
        <a:bodyPr vertOverflow="clip" wrap="square" lIns="27432" tIns="18288" rIns="0" bIns="0" anchor="t" upright="1"/>
        <a:lstStyle/>
        <a:p>
          <a:pPr algn="l" rtl="0">
            <a:lnSpc>
              <a:spcPts val="1300"/>
            </a:lnSpc>
            <a:defRPr sz="1000"/>
          </a:pPr>
          <a:r>
            <a:rPr lang="ja-JP" altLang="en-US" sz="1100" b="0" i="0" strike="noStrike">
              <a:solidFill>
                <a:srgbClr val="0000FF"/>
              </a:solidFill>
              <a:latin typeface="ＭＳ Ｐゴシック"/>
              <a:ea typeface="ＭＳ Ｐゴシック"/>
            </a:rPr>
            <a:t>一繰前の借受中の貸付金の</a:t>
          </a:r>
        </a:p>
        <a:p>
          <a:pPr algn="l" rtl="0">
            <a:lnSpc>
              <a:spcPts val="1300"/>
            </a:lnSpc>
            <a:defRPr sz="1000"/>
          </a:pPr>
          <a:r>
            <a:rPr lang="ja-JP" altLang="en-US" sz="1100" b="0" i="0" strike="noStrike">
              <a:solidFill>
                <a:srgbClr val="0000FF"/>
              </a:solidFill>
              <a:latin typeface="ＭＳ Ｐゴシック"/>
              <a:ea typeface="ＭＳ Ｐゴシック"/>
            </a:rPr>
            <a:t>一回当たりの償還額</a:t>
          </a:r>
        </a:p>
      </xdr:txBody>
    </xdr:sp>
    <xdr:clientData/>
  </xdr:twoCellAnchor>
  <xdr:twoCellAnchor>
    <xdr:from>
      <xdr:col>3</xdr:col>
      <xdr:colOff>0</xdr:colOff>
      <xdr:row>20</xdr:row>
      <xdr:rowOff>0</xdr:rowOff>
    </xdr:from>
    <xdr:to>
      <xdr:col>3</xdr:col>
      <xdr:colOff>666750</xdr:colOff>
      <xdr:row>21</xdr:row>
      <xdr:rowOff>0</xdr:rowOff>
    </xdr:to>
    <xdr:sp macro="" textlink="">
      <xdr:nvSpPr>
        <xdr:cNvPr id="2086" name="Text Box 38">
          <a:extLst>
            <a:ext uri="{FF2B5EF4-FFF2-40B4-BE49-F238E27FC236}">
              <a16:creationId xmlns:a16="http://schemas.microsoft.com/office/drawing/2014/main" id="{00000000-0008-0000-0000-000026080000}"/>
            </a:ext>
          </a:extLst>
        </xdr:cNvPr>
        <xdr:cNvSpPr txBox="1">
          <a:spLocks noChangeArrowheads="1"/>
        </xdr:cNvSpPr>
      </xdr:nvSpPr>
      <xdr:spPr bwMode="auto">
        <a:xfrm>
          <a:off x="3343275" y="3571875"/>
          <a:ext cx="666750" cy="190500"/>
        </a:xfrm>
        <a:prstGeom prst="rect">
          <a:avLst/>
        </a:prstGeom>
        <a:noFill/>
        <a:ln w="3175">
          <a:solidFill>
            <a:srgbClr val="000000"/>
          </a:solidFill>
          <a:miter lim="800000"/>
          <a:headEnd/>
          <a:tailEnd/>
        </a:ln>
      </xdr:spPr>
      <xdr:txBody>
        <a:bodyPr vertOverflow="clip" wrap="square" lIns="27432" tIns="18288" rIns="27432" bIns="18288" anchor="ctr" upright="1"/>
        <a:lstStyle/>
        <a:p>
          <a:pPr algn="ctr" rtl="0">
            <a:defRPr sz="1000"/>
          </a:pPr>
          <a:r>
            <a:rPr lang="ja-JP" altLang="en-US" sz="800" b="0" i="0" strike="noStrike">
              <a:solidFill>
                <a:srgbClr val="000000"/>
              </a:solidFill>
              <a:latin typeface="ＭＳ Ｐゴシック"/>
              <a:ea typeface="ＭＳ Ｐゴシック"/>
            </a:rPr>
            <a:t>給料の</a:t>
          </a:r>
          <a:r>
            <a:rPr lang="en-US" altLang="ja-JP" sz="800" b="0" i="0" strike="noStrike">
              <a:solidFill>
                <a:srgbClr val="000000"/>
              </a:solidFill>
              <a:latin typeface="ＭＳ Ｐゴシック"/>
              <a:ea typeface="ＭＳ Ｐゴシック"/>
            </a:rPr>
            <a:t>3/10</a:t>
          </a:r>
        </a:p>
      </xdr:txBody>
    </xdr:sp>
    <xdr:clientData/>
  </xdr:twoCellAnchor>
  <xdr:twoCellAnchor>
    <xdr:from>
      <xdr:col>6</xdr:col>
      <xdr:colOff>228600</xdr:colOff>
      <xdr:row>0</xdr:row>
      <xdr:rowOff>28575</xdr:rowOff>
    </xdr:from>
    <xdr:to>
      <xdr:col>9</xdr:col>
      <xdr:colOff>47625</xdr:colOff>
      <xdr:row>25</xdr:row>
      <xdr:rowOff>9525</xdr:rowOff>
    </xdr:to>
    <xdr:grpSp>
      <xdr:nvGrpSpPr>
        <xdr:cNvPr id="2500" name="Group 91">
          <a:extLst>
            <a:ext uri="{FF2B5EF4-FFF2-40B4-BE49-F238E27FC236}">
              <a16:creationId xmlns:a16="http://schemas.microsoft.com/office/drawing/2014/main" id="{00000000-0008-0000-0000-0000C4090000}"/>
            </a:ext>
          </a:extLst>
        </xdr:cNvPr>
        <xdr:cNvGrpSpPr>
          <a:grpSpLocks/>
        </xdr:cNvGrpSpPr>
      </xdr:nvGrpSpPr>
      <xdr:grpSpPr bwMode="auto">
        <a:xfrm>
          <a:off x="6457950" y="28575"/>
          <a:ext cx="1914525" cy="4391025"/>
          <a:chOff x="742" y="1"/>
          <a:chExt cx="227" cy="629"/>
        </a:xfrm>
      </xdr:grpSpPr>
      <xdr:sp macro="" textlink="">
        <xdr:nvSpPr>
          <xdr:cNvPr id="2055" name="Text Box 7">
            <a:extLst>
              <a:ext uri="{FF2B5EF4-FFF2-40B4-BE49-F238E27FC236}">
                <a16:creationId xmlns:a16="http://schemas.microsoft.com/office/drawing/2014/main" id="{00000000-0008-0000-0000-000007080000}"/>
              </a:ext>
            </a:extLst>
          </xdr:cNvPr>
          <xdr:cNvSpPr txBox="1">
            <a:spLocks noChangeArrowheads="1"/>
          </xdr:cNvSpPr>
        </xdr:nvSpPr>
        <xdr:spPr bwMode="auto">
          <a:xfrm>
            <a:off x="742" y="1"/>
            <a:ext cx="227" cy="629"/>
          </a:xfrm>
          <a:prstGeom prst="rect">
            <a:avLst/>
          </a:prstGeom>
          <a:solidFill>
            <a:srgbClr val="FFFF99"/>
          </a:solidFill>
          <a:ln w="25400">
            <a:noFill/>
            <a:miter lim="800000"/>
            <a:headEnd/>
            <a:tailEnd/>
          </a:ln>
        </xdr:spPr>
        <xdr:txBody>
          <a:bodyPr vertOverflow="clip" vert="wordArtVertRtl" wrap="square" lIns="0" tIns="0" rIns="36576" bIns="0" anchor="t" upright="1"/>
          <a:lstStyle/>
          <a:p>
            <a:pPr algn="l" rtl="0">
              <a:lnSpc>
                <a:spcPts val="1200"/>
              </a:lnSpc>
              <a:defRPr sz="1000"/>
            </a:pPr>
            <a:endParaRPr lang="ja-JP" altLang="en-US" sz="1100" b="1" i="0" strike="noStrike">
              <a:solidFill>
                <a:srgbClr val="FF0000"/>
              </a:solidFill>
              <a:latin typeface="ＭＳ Ｐゴシック"/>
              <a:ea typeface="ＭＳ Ｐゴシック"/>
            </a:endParaRPr>
          </a:p>
          <a:p>
            <a:pPr algn="l" rtl="0">
              <a:lnSpc>
                <a:spcPts val="1500"/>
              </a:lnSpc>
              <a:defRPr sz="1000"/>
            </a:pPr>
            <a:r>
              <a:rPr lang="ja-JP" altLang="en-US" sz="1100" b="1" i="0" strike="noStrike">
                <a:solidFill>
                  <a:srgbClr val="333399"/>
                </a:solidFill>
                <a:latin typeface="ＭＳ Ｐゴシック"/>
                <a:ea typeface="ＭＳ Ｐゴシック"/>
              </a:rPr>
              <a:t> </a:t>
            </a:r>
            <a:r>
              <a:rPr lang="ja-JP" altLang="en-US" sz="1100" b="1" i="0" strike="noStrike">
                <a:solidFill>
                  <a:srgbClr val="333399"/>
                </a:solidFill>
                <a:latin typeface="ＭＳ ゴシック"/>
                <a:ea typeface="ＭＳ ゴシック"/>
              </a:rPr>
              <a:t> 　</a:t>
            </a:r>
            <a:r>
              <a:rPr lang="ja-JP" altLang="en-US" sz="1200" b="1" i="0" strike="noStrike">
                <a:solidFill>
                  <a:srgbClr val="333399"/>
                </a:solidFill>
                <a:latin typeface="ＭＳ ゴシック"/>
                <a:ea typeface="ＭＳ ゴシック"/>
              </a:rPr>
              <a:t>に必要事項を入力してください。</a:t>
            </a:r>
            <a:r>
              <a:rPr lang="ja-JP" altLang="en-US" sz="1100" b="1" i="0" strike="noStrike">
                <a:solidFill>
                  <a:srgbClr val="333399"/>
                </a:solidFill>
                <a:latin typeface="ＭＳ ゴシック"/>
                <a:ea typeface="ＭＳ ゴシック"/>
              </a:rPr>
              <a:t>　　</a:t>
            </a:r>
          </a:p>
          <a:p>
            <a:pPr algn="l" rtl="0">
              <a:lnSpc>
                <a:spcPts val="1200"/>
              </a:lnSpc>
              <a:defRPr sz="1000"/>
            </a:pPr>
            <a:endParaRPr lang="ja-JP" altLang="en-US" sz="1100" b="1" i="0" strike="noStrike">
              <a:solidFill>
                <a:srgbClr val="333399"/>
              </a:solidFill>
              <a:latin typeface="ＭＳ ゴシック"/>
              <a:ea typeface="ＭＳ ゴシック"/>
            </a:endParaRPr>
          </a:p>
          <a:p>
            <a:pPr algn="l" rtl="0">
              <a:defRPr sz="1000"/>
            </a:pPr>
            <a:r>
              <a:rPr lang="ja-JP" altLang="en-US" sz="1100" b="1" i="0" strike="noStrike">
                <a:solidFill>
                  <a:srgbClr val="333399"/>
                </a:solidFill>
                <a:latin typeface="ＭＳ ゴシック"/>
                <a:ea typeface="ＭＳ ゴシック"/>
              </a:rPr>
              <a:t>　</a:t>
            </a:r>
            <a:r>
              <a:rPr lang="ja-JP" altLang="en-US" sz="1200" b="1" i="0" strike="noStrike">
                <a:solidFill>
                  <a:srgbClr val="FF0000"/>
                </a:solidFill>
                <a:latin typeface="ＭＳ ゴシック"/>
                <a:ea typeface="ＭＳ ゴシック"/>
              </a:rPr>
              <a:t>赤文字</a:t>
            </a:r>
            <a:r>
              <a:rPr lang="ja-JP" altLang="en-US" sz="1200" b="1" i="0" strike="noStrike">
                <a:solidFill>
                  <a:srgbClr val="333399"/>
                </a:solidFill>
                <a:latin typeface="ＭＳ ゴシック"/>
                <a:ea typeface="ＭＳ ゴシック"/>
              </a:rPr>
              <a:t>に注意して入力してください！</a:t>
            </a:r>
            <a:r>
              <a:rPr lang="ja-JP" altLang="en-US" sz="1200" b="1" i="0" strike="noStrike">
                <a:solidFill>
                  <a:srgbClr val="FF0000"/>
                </a:solidFill>
                <a:latin typeface="ＭＳ ゴシック"/>
                <a:ea typeface="ＭＳ ゴシック"/>
              </a:rPr>
              <a:t>赤文字</a:t>
            </a:r>
            <a:r>
              <a:rPr lang="ja-JP" altLang="en-US" sz="1200" b="1" i="0" strike="noStrike">
                <a:solidFill>
                  <a:srgbClr val="333399"/>
                </a:solidFill>
                <a:latin typeface="ＭＳ ゴシック"/>
                <a:ea typeface="ＭＳ ゴシック"/>
              </a:rPr>
              <a:t>が</a:t>
            </a:r>
          </a:p>
          <a:p>
            <a:pPr algn="l" rtl="0">
              <a:lnSpc>
                <a:spcPts val="1500"/>
              </a:lnSpc>
              <a:defRPr sz="1000"/>
            </a:pPr>
            <a:r>
              <a:rPr lang="ja-JP" altLang="en-US" sz="1200" b="1" i="0" strike="noStrike">
                <a:solidFill>
                  <a:srgbClr val="333399"/>
                </a:solidFill>
                <a:latin typeface="ＭＳ ゴシック"/>
                <a:ea typeface="ＭＳ ゴシック"/>
              </a:rPr>
              <a:t>全てなくなった時点で完了です。</a:t>
            </a:r>
            <a:endParaRPr lang="ja-JP" altLang="en-US" sz="1100" b="1" i="0" strike="noStrike">
              <a:solidFill>
                <a:srgbClr val="333399"/>
              </a:solidFill>
              <a:latin typeface="ＭＳ ゴシック"/>
              <a:ea typeface="ＭＳ ゴシック"/>
            </a:endParaRPr>
          </a:p>
          <a:p>
            <a:pPr algn="l" rtl="0">
              <a:defRPr sz="1000"/>
            </a:pPr>
            <a:endParaRPr lang="ja-JP" altLang="en-US" sz="1100" b="1" i="0" strike="noStrike">
              <a:solidFill>
                <a:srgbClr val="333399"/>
              </a:solidFill>
              <a:latin typeface="ＭＳ ゴシック"/>
              <a:ea typeface="ＭＳ ゴシック"/>
            </a:endParaRPr>
          </a:p>
          <a:p>
            <a:pPr algn="l" rtl="0">
              <a:lnSpc>
                <a:spcPts val="1500"/>
              </a:lnSpc>
              <a:defRPr sz="1000"/>
            </a:pPr>
            <a:r>
              <a:rPr lang="ja-JP" altLang="en-US" sz="1100" b="1" i="0" strike="noStrike">
                <a:solidFill>
                  <a:srgbClr val="333399"/>
                </a:solidFill>
                <a:latin typeface="ＭＳ ゴシック"/>
                <a:ea typeface="ＭＳ ゴシック"/>
              </a:rPr>
              <a:t>　</a:t>
            </a:r>
            <a:r>
              <a:rPr lang="en-US" altLang="ja-JP" sz="1200" b="1" i="0" strike="noStrike">
                <a:solidFill>
                  <a:srgbClr val="333399"/>
                </a:solidFill>
                <a:latin typeface="ＭＳ ゴシック"/>
                <a:ea typeface="ＭＳ ゴシック"/>
              </a:rPr>
              <a:t>『</a:t>
            </a:r>
            <a:r>
              <a:rPr lang="ja-JP" altLang="en-US" sz="1200" b="1" i="0" strike="noStrike">
                <a:solidFill>
                  <a:srgbClr val="333399"/>
                </a:solidFill>
                <a:latin typeface="ＭＳ ゴシック"/>
                <a:ea typeface="ＭＳ ゴシック"/>
              </a:rPr>
              <a:t>一部繰上償還申出書</a:t>
            </a:r>
            <a:r>
              <a:rPr lang="en-US" altLang="ja-JP" sz="1200" b="1" i="0" strike="noStrike">
                <a:solidFill>
                  <a:srgbClr val="333399"/>
                </a:solidFill>
                <a:latin typeface="ＭＳ ゴシック"/>
                <a:ea typeface="ＭＳ ゴシック"/>
              </a:rPr>
              <a:t>』</a:t>
            </a:r>
            <a:r>
              <a:rPr lang="ja-JP" altLang="en-US" sz="1200" b="1" i="0" strike="noStrike">
                <a:solidFill>
                  <a:srgbClr val="333399"/>
                </a:solidFill>
                <a:latin typeface="ＭＳ ゴシック"/>
                <a:ea typeface="ＭＳ ゴシック"/>
              </a:rPr>
              <a:t>の印刷は、隣のシート</a:t>
            </a:r>
          </a:p>
          <a:p>
            <a:pPr algn="l" rtl="0">
              <a:lnSpc>
                <a:spcPts val="1500"/>
              </a:lnSpc>
              <a:defRPr sz="1000"/>
            </a:pPr>
            <a:r>
              <a:rPr lang="ja-JP" altLang="en-US" sz="1200" b="1" i="0" strike="noStrike">
                <a:solidFill>
                  <a:srgbClr val="333399"/>
                </a:solidFill>
                <a:latin typeface="ＭＳ ゴシック"/>
                <a:ea typeface="ＭＳ ゴシック"/>
              </a:rPr>
              <a:t>で行ってください。</a:t>
            </a:r>
          </a:p>
        </xdr:txBody>
      </xdr:sp>
      <xdr:sp macro="" textlink="">
        <xdr:nvSpPr>
          <xdr:cNvPr id="2502" name="Rectangle 6">
            <a:extLst>
              <a:ext uri="{FF2B5EF4-FFF2-40B4-BE49-F238E27FC236}">
                <a16:creationId xmlns:a16="http://schemas.microsoft.com/office/drawing/2014/main" id="{00000000-0008-0000-0000-0000C6090000}"/>
              </a:ext>
            </a:extLst>
          </xdr:cNvPr>
          <xdr:cNvSpPr>
            <a:spLocks noChangeArrowheads="1"/>
          </xdr:cNvSpPr>
        </xdr:nvSpPr>
        <xdr:spPr bwMode="auto">
          <a:xfrm>
            <a:off x="914" y="29"/>
            <a:ext cx="36" cy="36"/>
          </a:xfrm>
          <a:prstGeom prst="rect">
            <a:avLst/>
          </a:prstGeom>
          <a:solidFill>
            <a:srgbClr val="CCFFFF"/>
          </a:solidFill>
          <a:ln w="9525">
            <a:solidFill>
              <a:srgbClr val="000000"/>
            </a:solidFill>
            <a:miter lim="800000"/>
            <a:headEnd/>
            <a:tailEnd/>
          </a:ln>
        </xdr:spPr>
      </xdr:sp>
    </xdr:grp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190500</xdr:colOff>
      <xdr:row>9</xdr:row>
      <xdr:rowOff>85725</xdr:rowOff>
    </xdr:from>
    <xdr:to>
      <xdr:col>9</xdr:col>
      <xdr:colOff>209550</xdr:colOff>
      <xdr:row>10</xdr:row>
      <xdr:rowOff>114300</xdr:rowOff>
    </xdr:to>
    <xdr:grpSp>
      <xdr:nvGrpSpPr>
        <xdr:cNvPr id="1409" name="Group 3">
          <a:extLst>
            <a:ext uri="{FF2B5EF4-FFF2-40B4-BE49-F238E27FC236}">
              <a16:creationId xmlns:a16="http://schemas.microsoft.com/office/drawing/2014/main" id="{00000000-0008-0000-0100-000081050000}"/>
            </a:ext>
          </a:extLst>
        </xdr:cNvPr>
        <xdr:cNvGrpSpPr>
          <a:grpSpLocks/>
        </xdr:cNvGrpSpPr>
      </xdr:nvGrpSpPr>
      <xdr:grpSpPr bwMode="auto">
        <a:xfrm>
          <a:off x="2371725" y="2162175"/>
          <a:ext cx="323850" cy="200025"/>
          <a:chOff x="281" y="279"/>
          <a:chExt cx="38" cy="26"/>
        </a:xfrm>
      </xdr:grpSpPr>
      <xdr:sp macro="" textlink="">
        <xdr:nvSpPr>
          <xdr:cNvPr id="1413" name="Line 1">
            <a:extLst>
              <a:ext uri="{FF2B5EF4-FFF2-40B4-BE49-F238E27FC236}">
                <a16:creationId xmlns:a16="http://schemas.microsoft.com/office/drawing/2014/main" id="{00000000-0008-0000-0100-000085050000}"/>
              </a:ext>
            </a:extLst>
          </xdr:cNvPr>
          <xdr:cNvSpPr>
            <a:spLocks noChangeShapeType="1"/>
          </xdr:cNvSpPr>
        </xdr:nvSpPr>
        <xdr:spPr bwMode="auto">
          <a:xfrm flipV="1">
            <a:off x="281" y="279"/>
            <a:ext cx="38" cy="0"/>
          </a:xfrm>
          <a:prstGeom prst="line">
            <a:avLst/>
          </a:prstGeom>
          <a:noFill/>
          <a:ln w="9525">
            <a:solidFill>
              <a:srgbClr val="000000"/>
            </a:solidFill>
            <a:round/>
            <a:headEnd/>
            <a:tailEnd type="arrow" w="med" len="med"/>
          </a:ln>
          <a:extLst>
            <a:ext uri="{909E8E84-426E-40DD-AFC4-6F175D3DCCD1}">
              <a14:hiddenFill xmlns:a14="http://schemas.microsoft.com/office/drawing/2010/main">
                <a:noFill/>
              </a14:hiddenFill>
            </a:ext>
          </a:extLst>
        </xdr:spPr>
      </xdr:sp>
      <xdr:sp macro="" textlink="">
        <xdr:nvSpPr>
          <xdr:cNvPr id="1414" name="Line 2">
            <a:extLst>
              <a:ext uri="{FF2B5EF4-FFF2-40B4-BE49-F238E27FC236}">
                <a16:creationId xmlns:a16="http://schemas.microsoft.com/office/drawing/2014/main" id="{00000000-0008-0000-0100-000086050000}"/>
              </a:ext>
            </a:extLst>
          </xdr:cNvPr>
          <xdr:cNvSpPr>
            <a:spLocks noChangeShapeType="1"/>
          </xdr:cNvSpPr>
        </xdr:nvSpPr>
        <xdr:spPr bwMode="auto">
          <a:xfrm>
            <a:off x="281" y="279"/>
            <a:ext cx="0" cy="2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95250</xdr:colOff>
      <xdr:row>38</xdr:row>
      <xdr:rowOff>104775</xdr:rowOff>
    </xdr:from>
    <xdr:to>
      <xdr:col>27</xdr:col>
      <xdr:colOff>161925</xdr:colOff>
      <xdr:row>45</xdr:row>
      <xdr:rowOff>152400</xdr:rowOff>
    </xdr:to>
    <xdr:sp macro="" textlink="">
      <xdr:nvSpPr>
        <xdr:cNvPr id="1410" name="AutoShape 4">
          <a:extLst>
            <a:ext uri="{FF2B5EF4-FFF2-40B4-BE49-F238E27FC236}">
              <a16:creationId xmlns:a16="http://schemas.microsoft.com/office/drawing/2014/main" id="{00000000-0008-0000-0100-000082050000}"/>
            </a:ext>
          </a:extLst>
        </xdr:cNvPr>
        <xdr:cNvSpPr>
          <a:spLocks noChangeArrowheads="1"/>
        </xdr:cNvSpPr>
      </xdr:nvSpPr>
      <xdr:spPr bwMode="auto">
        <a:xfrm>
          <a:off x="95250" y="7991475"/>
          <a:ext cx="7010400" cy="1781175"/>
        </a:xfrm>
        <a:prstGeom prst="roundRect">
          <a:avLst>
            <a:gd name="adj" fmla="val 16667"/>
          </a:avLst>
        </a:prstGeom>
        <a:solidFill>
          <a:srgbClr val="FF9900">
            <a:alpha val="20000"/>
          </a:srgbClr>
        </a:solidFill>
        <a:ln w="31750">
          <a:solidFill>
            <a:srgbClr val="FF0000"/>
          </a:solidFill>
          <a:prstDash val="dash"/>
          <a:round/>
          <a:headEnd/>
          <a:tailEnd/>
        </a:ln>
      </xdr:spPr>
    </xdr:sp>
    <xdr:clientData fPrintsWithSheet="0"/>
  </xdr:twoCellAnchor>
  <xdr:twoCellAnchor>
    <xdr:from>
      <xdr:col>28</xdr:col>
      <xdr:colOff>171450</xdr:colOff>
      <xdr:row>12</xdr:row>
      <xdr:rowOff>57150</xdr:rowOff>
    </xdr:from>
    <xdr:to>
      <xdr:col>30</xdr:col>
      <xdr:colOff>209550</xdr:colOff>
      <xdr:row>34</xdr:row>
      <xdr:rowOff>19050</xdr:rowOff>
    </xdr:to>
    <xdr:sp macro="" textlink="">
      <xdr:nvSpPr>
        <xdr:cNvPr id="1029" name="Text Box 5">
          <a:extLst>
            <a:ext uri="{FF2B5EF4-FFF2-40B4-BE49-F238E27FC236}">
              <a16:creationId xmlns:a16="http://schemas.microsoft.com/office/drawing/2014/main" id="{00000000-0008-0000-0100-000005040000}"/>
            </a:ext>
          </a:extLst>
        </xdr:cNvPr>
        <xdr:cNvSpPr txBox="1">
          <a:spLocks noChangeArrowheads="1"/>
        </xdr:cNvSpPr>
      </xdr:nvSpPr>
      <xdr:spPr bwMode="auto">
        <a:xfrm>
          <a:off x="7800975" y="2647950"/>
          <a:ext cx="1409700" cy="4581525"/>
        </a:xfrm>
        <a:prstGeom prst="rect">
          <a:avLst/>
        </a:prstGeom>
        <a:solidFill>
          <a:srgbClr val="FF9900"/>
        </a:solidFill>
        <a:ln w="31750">
          <a:solidFill>
            <a:srgbClr val="000000"/>
          </a:solidFill>
          <a:miter lim="800000"/>
          <a:headEnd/>
          <a:tailEnd/>
        </a:ln>
      </xdr:spPr>
      <xdr:txBody>
        <a:bodyPr vertOverflow="clip" vert="wordArtVertRtl" wrap="square" lIns="54864" tIns="0" rIns="54864" bIns="0" anchor="ctr" upright="1"/>
        <a:lstStyle/>
        <a:p>
          <a:pPr algn="l" rtl="0">
            <a:lnSpc>
              <a:spcPts val="3000"/>
            </a:lnSpc>
            <a:defRPr sz="1000"/>
          </a:pPr>
          <a:r>
            <a:rPr lang="ja-JP" altLang="en-US" sz="2600" b="1" i="0" strike="noStrike">
              <a:solidFill>
                <a:srgbClr val="000000"/>
              </a:solidFill>
              <a:latin typeface="ＭＳ ゴシック"/>
              <a:ea typeface="ＭＳ ゴシック"/>
            </a:rPr>
            <a:t>印刷後、記入して</a:t>
          </a:r>
        </a:p>
        <a:p>
          <a:pPr algn="l" rtl="0">
            <a:lnSpc>
              <a:spcPts val="2900"/>
            </a:lnSpc>
            <a:defRPr sz="1000"/>
          </a:pPr>
          <a:r>
            <a:rPr lang="ja-JP" altLang="en-US" sz="2600" b="1" i="0" strike="noStrike">
              <a:solidFill>
                <a:srgbClr val="000000"/>
              </a:solidFill>
              <a:latin typeface="ＭＳ ゴシック"/>
              <a:ea typeface="ＭＳ ゴシック"/>
            </a:rPr>
            <a:t>提出してください。</a:t>
          </a:r>
        </a:p>
      </xdr:txBody>
    </xdr:sp>
    <xdr:clientData fPrintsWithSheet="0"/>
  </xdr:twoCellAnchor>
  <xdr:twoCellAnchor>
    <xdr:from>
      <xdr:col>27</xdr:col>
      <xdr:colOff>438150</xdr:colOff>
      <xdr:row>34</xdr:row>
      <xdr:rowOff>161925</xdr:rowOff>
    </xdr:from>
    <xdr:to>
      <xdr:col>29</xdr:col>
      <xdr:colOff>428625</xdr:colOff>
      <xdr:row>43</xdr:row>
      <xdr:rowOff>209550</xdr:rowOff>
    </xdr:to>
    <xdr:sp macro="" textlink="">
      <xdr:nvSpPr>
        <xdr:cNvPr id="1412" name="AutoShape 6">
          <a:extLst>
            <a:ext uri="{FF2B5EF4-FFF2-40B4-BE49-F238E27FC236}">
              <a16:creationId xmlns:a16="http://schemas.microsoft.com/office/drawing/2014/main" id="{00000000-0008-0000-0100-000084050000}"/>
            </a:ext>
          </a:extLst>
        </xdr:cNvPr>
        <xdr:cNvSpPr>
          <a:spLocks noChangeArrowheads="1"/>
        </xdr:cNvSpPr>
      </xdr:nvSpPr>
      <xdr:spPr bwMode="auto">
        <a:xfrm rot="16200000" flipH="1">
          <a:off x="7138988" y="7615237"/>
          <a:ext cx="1847850" cy="1362075"/>
        </a:xfrm>
        <a:custGeom>
          <a:avLst/>
          <a:gdLst>
            <a:gd name="T0" fmla="*/ 2147483646 w 21600"/>
            <a:gd name="T1" fmla="*/ 0 h 21600"/>
            <a:gd name="T2" fmla="*/ 2147483646 w 21600"/>
            <a:gd name="T3" fmla="*/ 2147483646 h 21600"/>
            <a:gd name="T4" fmla="*/ 0 w 21600"/>
            <a:gd name="T5" fmla="*/ 2147483646 h 21600"/>
            <a:gd name="T6" fmla="*/ 2147483646 w 21600"/>
            <a:gd name="T7" fmla="*/ 2147483646 h 21600"/>
            <a:gd name="T8" fmla="*/ 2147483646 w 21600"/>
            <a:gd name="T9" fmla="*/ 2147483646 h 21600"/>
            <a:gd name="T10" fmla="*/ 2147483646 w 21600"/>
            <a:gd name="T11" fmla="*/ 2147483646 h 21600"/>
            <a:gd name="T12" fmla="*/ 17694720 60000 65536"/>
            <a:gd name="T13" fmla="*/ 11796480 60000 65536"/>
            <a:gd name="T14" fmla="*/ 11796480 60000 65536"/>
            <a:gd name="T15" fmla="*/ 5898240 60000 65536"/>
            <a:gd name="T16" fmla="*/ 0 60000 65536"/>
            <a:gd name="T17" fmla="*/ 0 60000 65536"/>
            <a:gd name="T18" fmla="*/ 0 w 21600"/>
            <a:gd name="T19" fmla="*/ 14657 h 21600"/>
            <a:gd name="T20" fmla="*/ 17788 w 21600"/>
            <a:gd name="T21" fmla="*/ 21600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4929" y="0"/>
              </a:moveTo>
              <a:lnTo>
                <a:pt x="8258" y="7200"/>
              </a:lnTo>
              <a:lnTo>
                <a:pt x="12070" y="7200"/>
              </a:lnTo>
              <a:lnTo>
                <a:pt x="12070" y="14657"/>
              </a:lnTo>
              <a:lnTo>
                <a:pt x="0" y="14657"/>
              </a:lnTo>
              <a:lnTo>
                <a:pt x="0" y="21600"/>
              </a:lnTo>
              <a:lnTo>
                <a:pt x="17788" y="21600"/>
              </a:lnTo>
              <a:lnTo>
                <a:pt x="17788" y="7200"/>
              </a:lnTo>
              <a:lnTo>
                <a:pt x="21600" y="7200"/>
              </a:lnTo>
              <a:lnTo>
                <a:pt x="14929" y="0"/>
              </a:lnTo>
              <a:close/>
            </a:path>
          </a:pathLst>
        </a:custGeom>
        <a:solidFill>
          <a:srgbClr val="FF9900"/>
        </a:solidFill>
        <a:ln w="31750">
          <a:solidFill>
            <a:srgbClr val="000000"/>
          </a:solidFill>
          <a:miter lim="800000"/>
          <a:headEnd/>
          <a:tailEnd/>
        </a:ln>
      </xdr:spPr>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0</xdr:col>
      <xdr:colOff>28575</xdr:colOff>
      <xdr:row>54</xdr:row>
      <xdr:rowOff>9525</xdr:rowOff>
    </xdr:from>
    <xdr:to>
      <xdr:col>8</xdr:col>
      <xdr:colOff>600075</xdr:colOff>
      <xdr:row>71</xdr:row>
      <xdr:rowOff>38100</xdr:rowOff>
    </xdr:to>
    <xdr:sp macro="" textlink="">
      <xdr:nvSpPr>
        <xdr:cNvPr id="4097" name="Text Box 1">
          <a:extLst>
            <a:ext uri="{FF2B5EF4-FFF2-40B4-BE49-F238E27FC236}">
              <a16:creationId xmlns:a16="http://schemas.microsoft.com/office/drawing/2014/main" id="{00000000-0008-0000-0200-000001100000}"/>
            </a:ext>
          </a:extLst>
        </xdr:cNvPr>
        <xdr:cNvSpPr txBox="1">
          <a:spLocks noChangeArrowheads="1"/>
        </xdr:cNvSpPr>
      </xdr:nvSpPr>
      <xdr:spPr bwMode="auto">
        <a:xfrm>
          <a:off x="28575" y="12458700"/>
          <a:ext cx="9820275" cy="294322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一繰の制限</a:t>
          </a:r>
        </a:p>
        <a:p>
          <a:pPr algn="l" rtl="0">
            <a:defRPr sz="1000"/>
          </a:pPr>
          <a:r>
            <a:rPr lang="ja-JP" altLang="en-US" sz="1100" b="0" i="0" strike="noStrike">
              <a:solidFill>
                <a:srgbClr val="000000"/>
              </a:solidFill>
              <a:latin typeface="ＭＳ Ｐゴシック"/>
              <a:ea typeface="ＭＳ Ｐゴシック"/>
            </a:rPr>
            <a:t>・毎月のみで償還している場合の一繰額は１０万円以上</a:t>
          </a:r>
        </a:p>
        <a:p>
          <a:pPr algn="l" rtl="0">
            <a:lnSpc>
              <a:spcPts val="1300"/>
            </a:lnSpc>
            <a:defRPr sz="1000"/>
          </a:pPr>
          <a:r>
            <a:rPr lang="ja-JP" altLang="en-US" sz="1100" b="0" i="0" strike="noStrike">
              <a:solidFill>
                <a:srgbClr val="000000"/>
              </a:solidFill>
              <a:latin typeface="ＭＳ Ｐゴシック"/>
              <a:ea typeface="ＭＳ Ｐゴシック"/>
            </a:rPr>
            <a:t>・毎月のみで償還している場合の一繰額は未償還元金を超えてはならない</a:t>
          </a:r>
        </a:p>
        <a:p>
          <a:pPr algn="l" rtl="0">
            <a:lnSpc>
              <a:spcPts val="1300"/>
            </a:lnSpc>
            <a:defRPr sz="1000"/>
          </a:pPr>
          <a:r>
            <a:rPr lang="ja-JP" altLang="en-US" sz="1100" b="0" i="0" strike="noStrike">
              <a:solidFill>
                <a:srgbClr val="000000"/>
              </a:solidFill>
              <a:latin typeface="ＭＳ Ｐゴシック"/>
              <a:ea typeface="ＭＳ Ｐゴシック"/>
            </a:rPr>
            <a:t>・ﾎﾞｰﾅｽを併用して償還している場合は２０万円以上</a:t>
          </a:r>
        </a:p>
        <a:p>
          <a:pPr algn="l" rtl="0">
            <a:defRPr sz="1000"/>
          </a:pPr>
          <a:r>
            <a:rPr lang="ja-JP" altLang="en-US" sz="1100" b="0" i="0" strike="noStrike">
              <a:solidFill>
                <a:srgbClr val="000000"/>
              </a:solidFill>
              <a:latin typeface="ＭＳ Ｐゴシック"/>
              <a:ea typeface="ＭＳ Ｐゴシック"/>
            </a:rPr>
            <a:t>・ﾎﾞｰﾅｽのみ２０万円以上一繰するのは可</a:t>
          </a:r>
        </a:p>
        <a:p>
          <a:pPr algn="l" rtl="0">
            <a:lnSpc>
              <a:spcPts val="1300"/>
            </a:lnSpc>
            <a:defRPr sz="1000"/>
          </a:pPr>
          <a:r>
            <a:rPr lang="ja-JP" altLang="en-US" sz="1100" b="0" i="0" strike="noStrike">
              <a:solidFill>
                <a:srgbClr val="000000"/>
              </a:solidFill>
              <a:latin typeface="ＭＳ Ｐゴシック"/>
              <a:ea typeface="ＭＳ Ｐゴシック"/>
            </a:rPr>
            <a:t>・２０万円未満の額でﾎﾞｰﾅｽが完済になる場合、毎月とあわせて２０万円以上にする必要がある。</a:t>
          </a:r>
        </a:p>
        <a:p>
          <a:pPr algn="l" rtl="0">
            <a:defRPr sz="1000"/>
          </a:pPr>
          <a:r>
            <a:rPr lang="ja-JP" altLang="en-US" sz="1100" b="0" i="0" strike="noStrike">
              <a:solidFill>
                <a:srgbClr val="000000"/>
              </a:solidFill>
              <a:latin typeface="ＭＳ Ｐゴシック"/>
              <a:ea typeface="ＭＳ Ｐゴシック"/>
            </a:rPr>
            <a:t>・ボーナスに一繰額全体の１／２以上を充てる</a:t>
          </a:r>
        </a:p>
        <a:p>
          <a:pPr algn="l" rtl="0">
            <a:lnSpc>
              <a:spcPts val="1300"/>
            </a:lnSpc>
            <a:defRPr sz="1000"/>
          </a:pPr>
          <a:r>
            <a:rPr lang="ja-JP" altLang="en-US" sz="1100" b="0" i="0" strike="noStrike">
              <a:solidFill>
                <a:srgbClr val="000000"/>
              </a:solidFill>
              <a:latin typeface="ＭＳ Ｐゴシック"/>
              <a:ea typeface="ＭＳ Ｐゴシック"/>
            </a:rPr>
            <a:t>・ボーナス償還回数は毎月償還回数の１／６以内</a:t>
          </a:r>
        </a:p>
        <a:p>
          <a:pPr algn="l" rtl="0">
            <a:lnSpc>
              <a:spcPts val="1300"/>
            </a:lnSpc>
            <a:defRPr sz="1000"/>
          </a:pPr>
          <a:r>
            <a:rPr lang="ja-JP" altLang="en-US" sz="1100" b="0" i="0" strike="noStrike">
              <a:solidFill>
                <a:srgbClr val="000000"/>
              </a:solidFill>
              <a:latin typeface="ＭＳ Ｐゴシック"/>
              <a:ea typeface="ＭＳ Ｐゴシック"/>
            </a:rPr>
            <a:t>・償還回数を増やすことはできない</a:t>
          </a:r>
        </a:p>
        <a:p>
          <a:pPr algn="l" rtl="0">
            <a:defRPr sz="1000"/>
          </a:pPr>
          <a:r>
            <a:rPr lang="ja-JP" altLang="en-US" sz="1100" b="0" i="0" strike="noStrike">
              <a:solidFill>
                <a:srgbClr val="000000"/>
              </a:solidFill>
              <a:latin typeface="ＭＳ Ｐゴシック"/>
              <a:ea typeface="ＭＳ Ｐゴシック"/>
            </a:rPr>
            <a:t>・一繰後の償還額の合計は給料月額の３／１０（毎月）、６／１０（ボーナス）以内とする</a:t>
          </a:r>
        </a:p>
        <a:p>
          <a:pPr algn="l" rtl="0">
            <a:lnSpc>
              <a:spcPts val="1300"/>
            </a:lnSpc>
            <a:defRPr sz="1000"/>
          </a:pPr>
          <a:r>
            <a:rPr lang="ja-JP" altLang="en-US" sz="1100" b="0" i="0" strike="noStrike">
              <a:solidFill>
                <a:srgbClr val="000000"/>
              </a:solidFill>
              <a:latin typeface="ＭＳ Ｐゴシック"/>
              <a:ea typeface="ＭＳ Ｐゴシック"/>
            </a:rPr>
            <a:t>・未償還元金を超える一部繰上償還はできない。ボーナス償還については未償還元金以内。毎月償還は未償還元金を下回る額。</a:t>
          </a:r>
        </a:p>
        <a:p>
          <a:pPr algn="l" rtl="0">
            <a:lnSpc>
              <a:spcPts val="1300"/>
            </a:lnSpc>
            <a:defRPr sz="1000"/>
          </a:pPr>
          <a:endParaRPr lang="ja-JP" altLang="en-US" sz="1100" b="0" i="0" strike="noStrike">
            <a:solidFill>
              <a:srgbClr val="000000"/>
            </a:solidFill>
            <a:latin typeface="ＭＳ Ｐゴシック"/>
            <a:ea typeface="ＭＳ Ｐゴシック"/>
          </a:endParaRPr>
        </a:p>
        <a:p>
          <a:pPr algn="l" rtl="0">
            <a:defRPr sz="1000"/>
          </a:pPr>
          <a:r>
            <a:rPr lang="ja-JP" altLang="en-US" sz="1100" b="0" i="0" strike="noStrike">
              <a:solidFill>
                <a:srgbClr val="000000"/>
              </a:solidFill>
              <a:latin typeface="ＭＳ Ｐゴシック"/>
              <a:ea typeface="ＭＳ Ｐゴシック"/>
            </a:rPr>
            <a:t>入力の注意点</a:t>
          </a:r>
        </a:p>
        <a:p>
          <a:pPr algn="l" rtl="0">
            <a:lnSpc>
              <a:spcPts val="1300"/>
            </a:lnSpc>
            <a:defRPr sz="1000"/>
          </a:pPr>
          <a:r>
            <a:rPr lang="ja-JP" altLang="en-US" sz="1100" b="0" i="0" strike="noStrike">
              <a:solidFill>
                <a:srgbClr val="000000"/>
              </a:solidFill>
              <a:latin typeface="ＭＳ Ｐゴシック"/>
              <a:ea typeface="ＭＳ Ｐゴシック"/>
            </a:rPr>
            <a:t>・ボーナスを完済する場合、一繰後のボーナスの償還回数は０回にする。</a:t>
          </a:r>
        </a:p>
        <a:p>
          <a:pPr algn="l" rtl="0">
            <a:defRPr sz="1000"/>
          </a:pPr>
          <a:r>
            <a:rPr lang="ja-JP" altLang="en-US" sz="1100" b="0" i="0" strike="noStrike">
              <a:solidFill>
                <a:srgbClr val="000000"/>
              </a:solidFill>
              <a:latin typeface="ＭＳ Ｐゴシック"/>
              <a:ea typeface="ＭＳ Ｐゴシック"/>
            </a:rPr>
            <a:t>・ボーナスのみ一繰する場合は、毎月償還を空白か０にする。この場合、申出書に記入する一繰後の毎月償還額は０となる。実際の償還は従前どおり。</a:t>
          </a:r>
        </a:p>
        <a:p>
          <a:pPr algn="l" rtl="0">
            <a:lnSpc>
              <a:spcPts val="1300"/>
            </a:lnSpc>
            <a:defRPr sz="1000"/>
          </a:pPr>
          <a:r>
            <a:rPr lang="ja-JP" altLang="en-US" sz="1100" b="0" i="0" strike="noStrike">
              <a:solidFill>
                <a:srgbClr val="000000"/>
              </a:solidFill>
              <a:latin typeface="ＭＳ Ｐゴシック"/>
              <a:ea typeface="ＭＳ Ｐゴシック"/>
            </a:rPr>
            <a:t>・</a:t>
          </a:r>
        </a:p>
        <a:p>
          <a:pPr algn="l" rtl="0">
            <a:lnSpc>
              <a:spcPts val="1300"/>
            </a:lnSpc>
            <a:defRPr sz="1000"/>
          </a:pPr>
          <a:endParaRPr lang="ja-JP" altLang="en-US" sz="1100" b="0" i="0" strike="noStrike">
            <a:solidFill>
              <a:srgbClr val="000000"/>
            </a:solidFill>
            <a:latin typeface="ＭＳ Ｐゴシック"/>
            <a:ea typeface="ＭＳ Ｐゴシック"/>
          </a:endParaRPr>
        </a:p>
        <a:p>
          <a:pPr algn="l" rtl="0">
            <a:lnSpc>
              <a:spcPts val="1300"/>
            </a:lnSpc>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2</xdr:col>
      <xdr:colOff>38100</xdr:colOff>
      <xdr:row>28</xdr:row>
      <xdr:rowOff>38100</xdr:rowOff>
    </xdr:from>
    <xdr:to>
      <xdr:col>2</xdr:col>
      <xdr:colOff>114300</xdr:colOff>
      <xdr:row>32</xdr:row>
      <xdr:rowOff>0</xdr:rowOff>
    </xdr:to>
    <xdr:sp macro="" textlink="">
      <xdr:nvSpPr>
        <xdr:cNvPr id="4355" name="AutoShape 3">
          <a:extLst>
            <a:ext uri="{FF2B5EF4-FFF2-40B4-BE49-F238E27FC236}">
              <a16:creationId xmlns:a16="http://schemas.microsoft.com/office/drawing/2014/main" id="{00000000-0008-0000-0200-000003110000}"/>
            </a:ext>
          </a:extLst>
        </xdr:cNvPr>
        <xdr:cNvSpPr>
          <a:spLocks/>
        </xdr:cNvSpPr>
      </xdr:nvSpPr>
      <xdr:spPr bwMode="auto">
        <a:xfrm>
          <a:off x="3457575" y="6600825"/>
          <a:ext cx="76200" cy="876300"/>
        </a:xfrm>
        <a:prstGeom prst="rightBrace">
          <a:avLst>
            <a:gd name="adj1" fmla="val 958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38100</xdr:colOff>
      <xdr:row>43</xdr:row>
      <xdr:rowOff>28575</xdr:rowOff>
    </xdr:from>
    <xdr:to>
      <xdr:col>3</xdr:col>
      <xdr:colOff>104775</xdr:colOff>
      <xdr:row>48</xdr:row>
      <xdr:rowOff>219075</xdr:rowOff>
    </xdr:to>
    <xdr:sp macro="" textlink="">
      <xdr:nvSpPr>
        <xdr:cNvPr id="4356" name="AutoShape 4">
          <a:extLst>
            <a:ext uri="{FF2B5EF4-FFF2-40B4-BE49-F238E27FC236}">
              <a16:creationId xmlns:a16="http://schemas.microsoft.com/office/drawing/2014/main" id="{00000000-0008-0000-0200-000004110000}"/>
            </a:ext>
          </a:extLst>
        </xdr:cNvPr>
        <xdr:cNvSpPr>
          <a:spLocks/>
        </xdr:cNvSpPr>
      </xdr:nvSpPr>
      <xdr:spPr bwMode="auto">
        <a:xfrm>
          <a:off x="5191125" y="10020300"/>
          <a:ext cx="66675" cy="1333500"/>
        </a:xfrm>
        <a:prstGeom prst="rightBrace">
          <a:avLst>
            <a:gd name="adj1" fmla="val 1666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19050</xdr:colOff>
      <xdr:row>25</xdr:row>
      <xdr:rowOff>19050</xdr:rowOff>
    </xdr:from>
    <xdr:to>
      <xdr:col>4</xdr:col>
      <xdr:colOff>95250</xdr:colOff>
      <xdr:row>27</xdr:row>
      <xdr:rowOff>209550</xdr:rowOff>
    </xdr:to>
    <xdr:sp macro="" textlink="">
      <xdr:nvSpPr>
        <xdr:cNvPr id="4357" name="AutoShape 5">
          <a:extLst>
            <a:ext uri="{FF2B5EF4-FFF2-40B4-BE49-F238E27FC236}">
              <a16:creationId xmlns:a16="http://schemas.microsoft.com/office/drawing/2014/main" id="{00000000-0008-0000-0200-000005110000}"/>
            </a:ext>
          </a:extLst>
        </xdr:cNvPr>
        <xdr:cNvSpPr>
          <a:spLocks/>
        </xdr:cNvSpPr>
      </xdr:nvSpPr>
      <xdr:spPr bwMode="auto">
        <a:xfrm>
          <a:off x="6067425" y="5895975"/>
          <a:ext cx="76200" cy="647700"/>
        </a:xfrm>
        <a:prstGeom prst="rightBrace">
          <a:avLst>
            <a:gd name="adj1" fmla="val 708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142875</xdr:colOff>
      <xdr:row>2</xdr:row>
      <xdr:rowOff>9525</xdr:rowOff>
    </xdr:from>
    <xdr:to>
      <xdr:col>2</xdr:col>
      <xdr:colOff>342900</xdr:colOff>
      <xdr:row>17</xdr:row>
      <xdr:rowOff>28575</xdr:rowOff>
    </xdr:to>
    <xdr:sp macro="" textlink="">
      <xdr:nvSpPr>
        <xdr:cNvPr id="5121" name="AutoShape 1">
          <a:extLst>
            <a:ext uri="{FF2B5EF4-FFF2-40B4-BE49-F238E27FC236}">
              <a16:creationId xmlns:a16="http://schemas.microsoft.com/office/drawing/2014/main" id="{00000000-0008-0000-0300-000001140000}"/>
            </a:ext>
          </a:extLst>
        </xdr:cNvPr>
        <xdr:cNvSpPr>
          <a:spLocks noChangeArrowheads="1"/>
        </xdr:cNvSpPr>
      </xdr:nvSpPr>
      <xdr:spPr bwMode="auto">
        <a:xfrm rot="5400000">
          <a:off x="-128587" y="995362"/>
          <a:ext cx="2419350" cy="1133475"/>
        </a:xfrm>
        <a:prstGeom prst="leftArrow">
          <a:avLst>
            <a:gd name="adj1" fmla="val 45861"/>
            <a:gd name="adj2" fmla="val 65279"/>
          </a:avLst>
        </a:prstGeom>
        <a:solidFill>
          <a:srgbClr val="FF9900"/>
        </a:solidFill>
        <a:ln w="9525">
          <a:solidFill>
            <a:srgbClr val="000000"/>
          </a:solidFill>
          <a:miter lim="800000"/>
          <a:headEnd/>
          <a:tailEnd/>
        </a:ln>
      </xdr:spPr>
      <xdr:txBody>
        <a:bodyPr vertOverflow="clip" vert="wordArtVertRtl" wrap="square" lIns="36576" tIns="0" rIns="36576" bIns="0" anchor="ctr" upright="1"/>
        <a:lstStyle/>
        <a:p>
          <a:pPr algn="l" rtl="0">
            <a:lnSpc>
              <a:spcPts val="1000"/>
            </a:lnSpc>
            <a:defRPr sz="1000"/>
          </a:pPr>
          <a:r>
            <a:rPr lang="ja-JP" altLang="en-US" sz="1100" b="1" i="0" strike="noStrike">
              <a:solidFill>
                <a:srgbClr val="000000"/>
              </a:solidFill>
              <a:latin typeface="ＭＳ Ｐゴシック"/>
              <a:ea typeface="ＭＳ Ｐゴシック"/>
            </a:rPr>
            <a:t>一繰実施月時点の一般貸付の利率を入力する</a:t>
          </a:r>
        </a:p>
      </xdr:txBody>
    </xdr:sp>
    <xdr:clientData fPrint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1"/>
  <sheetViews>
    <sheetView showGridLines="0" tabSelected="1" workbookViewId="0">
      <selection activeCell="D1" sqref="D1"/>
    </sheetView>
  </sheetViews>
  <sheetFormatPr defaultColWidth="8.875" defaultRowHeight="13.5" x14ac:dyDescent="0.15"/>
  <cols>
    <col min="1" max="1" width="3.375" style="97" bestFit="1" customWidth="1"/>
    <col min="2" max="2" width="37.75" style="68" customWidth="1"/>
    <col min="3" max="3" width="4.5" style="68" customWidth="1"/>
    <col min="4" max="4" width="16.75" style="68" customWidth="1"/>
    <col min="5" max="5" width="8" style="68" customWidth="1"/>
    <col min="6" max="6" width="11.375" style="68" customWidth="1"/>
    <col min="7" max="7" width="5.75" style="68" customWidth="1"/>
    <col min="8" max="8" width="12.875" style="68" customWidth="1"/>
    <col min="9" max="9" width="8.875" style="68"/>
    <col min="10" max="10" width="4.875" style="68" customWidth="1"/>
    <col min="11" max="16384" width="8.875" style="68"/>
  </cols>
  <sheetData>
    <row r="1" spans="1:7" ht="15" customHeight="1" x14ac:dyDescent="0.15">
      <c r="A1" s="64" t="s">
        <v>103</v>
      </c>
      <c r="B1" s="65" t="s">
        <v>56</v>
      </c>
      <c r="C1" s="65"/>
      <c r="D1" s="59"/>
      <c r="E1" s="66"/>
      <c r="F1" s="67" t="str">
        <f>ASC(UPPER(MID(D1,1,5)))</f>
        <v/>
      </c>
      <c r="G1" s="67"/>
    </row>
    <row r="2" spans="1:7" ht="15" customHeight="1" x14ac:dyDescent="0.15">
      <c r="A2" s="64" t="s">
        <v>104</v>
      </c>
      <c r="B2" s="65" t="s">
        <v>57</v>
      </c>
      <c r="C2" s="65"/>
      <c r="D2" s="60"/>
      <c r="E2" s="66"/>
      <c r="F2" s="67" t="str">
        <f>ASC(UPPER(MID(D2,1,6)))</f>
        <v/>
      </c>
      <c r="G2" s="67"/>
    </row>
    <row r="3" spans="1:7" ht="15" customHeight="1" x14ac:dyDescent="0.15">
      <c r="A3" s="64" t="s">
        <v>105</v>
      </c>
      <c r="B3" s="65" t="s">
        <v>36</v>
      </c>
      <c r="C3" s="65"/>
      <c r="D3" s="61"/>
      <c r="E3" s="69"/>
      <c r="F3" s="67" t="str">
        <f>RIGHT(D3,2)</f>
        <v/>
      </c>
      <c r="G3" s="67"/>
    </row>
    <row r="4" spans="1:7" ht="15" customHeight="1" x14ac:dyDescent="0.15">
      <c r="A4" s="64" t="s">
        <v>106</v>
      </c>
      <c r="B4" s="65" t="s">
        <v>17</v>
      </c>
      <c r="C4" s="65"/>
      <c r="D4" s="60"/>
      <c r="E4" s="66"/>
      <c r="F4" s="67" t="str">
        <f>ASC(UPPER(MID(D4,1,6)))</f>
        <v/>
      </c>
      <c r="G4" s="67"/>
    </row>
    <row r="5" spans="1:7" ht="15" customHeight="1" x14ac:dyDescent="0.15">
      <c r="A5" s="64" t="s">
        <v>107</v>
      </c>
      <c r="B5" s="65" t="s">
        <v>86</v>
      </c>
      <c r="C5" s="65"/>
      <c r="D5" s="61"/>
      <c r="E5" s="69"/>
      <c r="F5" s="67" t="str">
        <f>RIGHT(D5,1)</f>
        <v/>
      </c>
      <c r="G5" s="67"/>
    </row>
    <row r="6" spans="1:7" ht="15" customHeight="1" x14ac:dyDescent="0.15">
      <c r="A6" s="64" t="s">
        <v>108</v>
      </c>
      <c r="B6" s="65" t="s">
        <v>190</v>
      </c>
      <c r="C6" s="65"/>
      <c r="D6" s="62"/>
      <c r="E6" s="70"/>
      <c r="F6" s="56"/>
    </row>
    <row r="7" spans="1:7" ht="15" customHeight="1" thickBot="1" x14ac:dyDescent="0.2">
      <c r="A7" s="64" t="s">
        <v>117</v>
      </c>
      <c r="B7" s="71" t="s">
        <v>193</v>
      </c>
      <c r="C7" s="71"/>
      <c r="D7" s="63"/>
      <c r="G7" s="67"/>
    </row>
    <row r="8" spans="1:7" s="73" customFormat="1" ht="9" customHeight="1" thickBot="1" x14ac:dyDescent="0.2">
      <c r="A8" s="64"/>
      <c r="B8" s="71"/>
      <c r="C8" s="71"/>
      <c r="D8" s="72"/>
      <c r="E8" s="72"/>
      <c r="F8" s="67"/>
      <c r="G8" s="67"/>
    </row>
    <row r="9" spans="1:7" ht="11.45" customHeight="1" x14ac:dyDescent="0.15">
      <c r="A9" s="64" t="s">
        <v>109</v>
      </c>
      <c r="B9" s="65"/>
      <c r="C9" s="65"/>
      <c r="D9" s="74" t="s">
        <v>112</v>
      </c>
      <c r="E9" s="178" t="s">
        <v>111</v>
      </c>
      <c r="F9" s="179"/>
      <c r="G9" s="75"/>
    </row>
    <row r="10" spans="1:7" ht="15" customHeight="1" x14ac:dyDescent="0.15">
      <c r="A10" s="64"/>
      <c r="C10" s="76" t="s">
        <v>59</v>
      </c>
      <c r="D10" s="62"/>
      <c r="E10" s="180"/>
      <c r="F10" s="181"/>
      <c r="G10" s="72"/>
    </row>
    <row r="11" spans="1:7" ht="15" customHeight="1" x14ac:dyDescent="0.15">
      <c r="A11" s="64"/>
      <c r="C11" s="76" t="s">
        <v>60</v>
      </c>
      <c r="D11" s="62"/>
      <c r="E11" s="180"/>
      <c r="F11" s="181"/>
      <c r="G11" s="72"/>
    </row>
    <row r="12" spans="1:7" ht="15" customHeight="1" x14ac:dyDescent="0.15">
      <c r="A12" s="64"/>
      <c r="C12" s="76" t="s">
        <v>61</v>
      </c>
      <c r="D12" s="62"/>
      <c r="E12" s="180"/>
      <c r="F12" s="181"/>
      <c r="G12" s="72"/>
    </row>
    <row r="13" spans="1:7" ht="15" customHeight="1" x14ac:dyDescent="0.15">
      <c r="A13" s="64"/>
      <c r="C13" s="76" t="s">
        <v>62</v>
      </c>
      <c r="D13" s="62"/>
      <c r="E13" s="180"/>
      <c r="F13" s="181"/>
      <c r="G13" s="72"/>
    </row>
    <row r="14" spans="1:7" ht="15" customHeight="1" x14ac:dyDescent="0.15">
      <c r="A14" s="64"/>
      <c r="C14" s="76" t="s">
        <v>63</v>
      </c>
      <c r="D14" s="62"/>
      <c r="E14" s="180"/>
      <c r="F14" s="181"/>
      <c r="G14" s="72"/>
    </row>
    <row r="15" spans="1:7" ht="15" customHeight="1" x14ac:dyDescent="0.15">
      <c r="A15" s="64"/>
      <c r="C15" s="76" t="s">
        <v>64</v>
      </c>
      <c r="D15" s="62"/>
      <c r="E15" s="180"/>
      <c r="F15" s="181"/>
      <c r="G15" s="72"/>
    </row>
    <row r="16" spans="1:7" ht="15" customHeight="1" x14ac:dyDescent="0.15">
      <c r="A16" s="64"/>
      <c r="C16" s="76" t="s">
        <v>65</v>
      </c>
      <c r="D16" s="62"/>
      <c r="E16" s="180"/>
      <c r="F16" s="181"/>
      <c r="G16" s="72"/>
    </row>
    <row r="17" spans="1:14" ht="15" customHeight="1" x14ac:dyDescent="0.15">
      <c r="A17" s="64"/>
      <c r="C17" s="76" t="s">
        <v>66</v>
      </c>
      <c r="D17" s="62"/>
      <c r="E17" s="180"/>
      <c r="F17" s="181"/>
      <c r="G17" s="72"/>
    </row>
    <row r="18" spans="1:14" ht="15" customHeight="1" thickBot="1" x14ac:dyDescent="0.2">
      <c r="A18" s="64"/>
      <c r="C18" s="76" t="s">
        <v>67</v>
      </c>
      <c r="D18" s="63"/>
      <c r="E18" s="183"/>
      <c r="F18" s="184"/>
      <c r="G18" s="72"/>
    </row>
    <row r="19" spans="1:14" ht="15" customHeight="1" x14ac:dyDescent="0.15">
      <c r="A19" s="77"/>
      <c r="B19" s="78"/>
      <c r="C19" s="78" t="s">
        <v>114</v>
      </c>
      <c r="D19" s="79">
        <f>SUM(D10:D18)</f>
        <v>0</v>
      </c>
      <c r="E19" s="182">
        <f>SUM(E10:F18)</f>
        <v>0</v>
      </c>
      <c r="F19" s="182"/>
      <c r="G19" s="56"/>
    </row>
    <row r="20" spans="1:14" ht="6" customHeight="1" x14ac:dyDescent="0.15">
      <c r="A20" s="77"/>
      <c r="B20" s="78"/>
      <c r="C20" s="78"/>
      <c r="D20" s="56"/>
      <c r="E20" s="80"/>
      <c r="F20" s="80"/>
      <c r="G20" s="56"/>
    </row>
    <row r="21" spans="1:14" ht="15" customHeight="1" x14ac:dyDescent="0.15">
      <c r="A21" s="77"/>
      <c r="B21" s="78"/>
      <c r="C21" s="78" t="s">
        <v>113</v>
      </c>
      <c r="D21" s="54">
        <f>計算用!B10</f>
        <v>0</v>
      </c>
      <c r="E21" s="55" t="s">
        <v>110</v>
      </c>
      <c r="F21" s="54">
        <f>計算用!B11</f>
        <v>0</v>
      </c>
      <c r="G21" s="56"/>
    </row>
    <row r="22" spans="1:14" ht="6" customHeight="1" x14ac:dyDescent="0.15">
      <c r="A22" s="77"/>
      <c r="B22" s="78"/>
      <c r="C22" s="78"/>
      <c r="D22" s="58"/>
      <c r="E22" s="57"/>
      <c r="F22" s="58"/>
      <c r="G22" s="56"/>
    </row>
    <row r="23" spans="1:14" ht="15" customHeight="1" x14ac:dyDescent="0.15">
      <c r="A23" s="77"/>
      <c r="B23" s="78"/>
      <c r="C23" s="81" t="s">
        <v>115</v>
      </c>
      <c r="D23" s="82" t="e">
        <f>SUM(計算用!D23,計算用!B38:B43)</f>
        <v>#VALUE!</v>
      </c>
      <c r="E23" s="175" t="e">
        <f>SUM(計算用!E23,計算用!B44:B49)</f>
        <v>#VALUE!</v>
      </c>
      <c r="F23" s="175"/>
      <c r="G23" s="56"/>
    </row>
    <row r="24" spans="1:14" ht="15" customHeight="1" x14ac:dyDescent="0.15">
      <c r="A24" s="77"/>
      <c r="B24" s="78"/>
      <c r="C24" s="81"/>
      <c r="D24" s="151"/>
      <c r="E24" s="152"/>
      <c r="F24" s="152"/>
      <c r="G24" s="56"/>
    </row>
    <row r="25" spans="1:14" ht="15" customHeight="1" thickBot="1" x14ac:dyDescent="0.2">
      <c r="A25" s="77"/>
      <c r="B25" s="78"/>
      <c r="C25" s="78"/>
      <c r="D25" s="153" t="s">
        <v>195</v>
      </c>
      <c r="E25" s="80"/>
      <c r="F25" s="153"/>
      <c r="G25" s="56"/>
    </row>
    <row r="26" spans="1:14" ht="15" customHeight="1" x14ac:dyDescent="0.15">
      <c r="A26" s="64" t="s">
        <v>93</v>
      </c>
      <c r="B26" s="167" t="s">
        <v>196</v>
      </c>
      <c r="C26" s="65"/>
      <c r="D26" s="157"/>
      <c r="E26" s="168"/>
      <c r="F26" s="154"/>
      <c r="G26" s="73"/>
    </row>
    <row r="27" spans="1:14" ht="15" customHeight="1" x14ac:dyDescent="0.15">
      <c r="A27" s="64" t="s">
        <v>94</v>
      </c>
      <c r="B27" s="167" t="s">
        <v>197</v>
      </c>
      <c r="C27" s="65"/>
      <c r="D27" s="158"/>
      <c r="E27" s="156"/>
      <c r="F27" s="155"/>
      <c r="G27" s="73"/>
    </row>
    <row r="28" spans="1:14" ht="15" customHeight="1" x14ac:dyDescent="0.15">
      <c r="A28" s="64" t="s">
        <v>95</v>
      </c>
      <c r="B28" s="167" t="s">
        <v>198</v>
      </c>
      <c r="C28" s="65"/>
      <c r="D28" s="159"/>
      <c r="E28" s="166"/>
      <c r="F28" s="83"/>
    </row>
    <row r="29" spans="1:14" ht="15" customHeight="1" thickBot="1" x14ac:dyDescent="0.2">
      <c r="A29" s="64" t="s">
        <v>96</v>
      </c>
      <c r="B29" s="167" t="s">
        <v>199</v>
      </c>
      <c r="C29" s="65"/>
      <c r="D29" s="160"/>
      <c r="E29" s="156"/>
      <c r="F29" s="155"/>
      <c r="G29" s="73"/>
    </row>
    <row r="30" spans="1:14" ht="15" customHeight="1" thickBot="1" x14ac:dyDescent="0.2">
      <c r="A30" s="64"/>
      <c r="B30" s="65"/>
      <c r="C30" s="65"/>
      <c r="D30" s="72"/>
      <c r="E30" s="84"/>
      <c r="F30" s="56"/>
      <c r="G30" s="73"/>
    </row>
    <row r="31" spans="1:14" ht="15" customHeight="1" x14ac:dyDescent="0.15">
      <c r="A31" s="64" t="s">
        <v>97</v>
      </c>
      <c r="B31" s="167" t="s">
        <v>188</v>
      </c>
      <c r="C31" s="65"/>
      <c r="D31" s="157"/>
      <c r="E31" s="169" t="str">
        <f>計算用!B34</f>
        <v/>
      </c>
      <c r="F31" s="170"/>
      <c r="G31" s="170"/>
      <c r="H31" s="170"/>
      <c r="I31" s="170"/>
      <c r="J31" s="170"/>
      <c r="K31" s="170"/>
      <c r="L31" s="170"/>
      <c r="M31" s="170"/>
      <c r="N31" s="170"/>
    </row>
    <row r="32" spans="1:14" ht="15" customHeight="1" x14ac:dyDescent="0.15">
      <c r="A32" s="64" t="s">
        <v>98</v>
      </c>
      <c r="B32" s="65" t="s">
        <v>186</v>
      </c>
      <c r="C32" s="65"/>
      <c r="D32" s="158"/>
      <c r="E32" s="169" t="str">
        <f>計算用!B33</f>
        <v/>
      </c>
      <c r="F32" s="170"/>
      <c r="G32" s="170"/>
      <c r="H32" s="170"/>
      <c r="I32" s="170"/>
      <c r="J32" s="170"/>
      <c r="K32" s="170"/>
      <c r="L32" s="170"/>
      <c r="M32" s="170"/>
      <c r="N32" s="170"/>
    </row>
    <row r="33" spans="1:14" ht="15" customHeight="1" x14ac:dyDescent="0.15">
      <c r="A33" s="64" t="s">
        <v>99</v>
      </c>
      <c r="B33" s="167" t="s">
        <v>189</v>
      </c>
      <c r="C33" s="65"/>
      <c r="D33" s="159"/>
      <c r="E33" s="169" t="str">
        <f>計算用!B36</f>
        <v/>
      </c>
      <c r="F33" s="170"/>
      <c r="G33" s="170"/>
      <c r="H33" s="170"/>
      <c r="I33" s="170"/>
      <c r="J33" s="170"/>
      <c r="K33" s="170"/>
      <c r="L33" s="170"/>
      <c r="M33" s="170"/>
      <c r="N33" s="170"/>
    </row>
    <row r="34" spans="1:14" ht="15" customHeight="1" thickBot="1" x14ac:dyDescent="0.2">
      <c r="A34" s="64" t="s">
        <v>100</v>
      </c>
      <c r="B34" s="167" t="s">
        <v>187</v>
      </c>
      <c r="C34" s="65"/>
      <c r="D34" s="160"/>
      <c r="E34" s="169" t="str">
        <f>計算用!B35</f>
        <v/>
      </c>
      <c r="F34" s="170"/>
      <c r="G34" s="170"/>
      <c r="H34" s="170"/>
      <c r="I34" s="170"/>
      <c r="J34" s="170"/>
      <c r="K34" s="170"/>
      <c r="L34" s="170"/>
      <c r="M34" s="170"/>
      <c r="N34" s="170"/>
    </row>
    <row r="35" spans="1:14" ht="13.15" customHeight="1" thickBot="1" x14ac:dyDescent="0.2">
      <c r="A35" s="77"/>
      <c r="B35" s="73"/>
      <c r="C35" s="73"/>
      <c r="D35" s="56"/>
      <c r="E35" s="56"/>
      <c r="F35" s="83"/>
      <c r="G35" s="83"/>
    </row>
    <row r="36" spans="1:14" ht="21" customHeight="1" thickBot="1" x14ac:dyDescent="0.2">
      <c r="A36" s="171" t="s">
        <v>118</v>
      </c>
      <c r="B36" s="171"/>
      <c r="C36" s="172"/>
      <c r="D36" s="85">
        <f>SUM(計算用!B38:B43)</f>
        <v>0</v>
      </c>
      <c r="E36" s="173" t="e">
        <f>計算用!B50</f>
        <v>#VALUE!</v>
      </c>
      <c r="F36" s="174"/>
      <c r="G36" s="174"/>
      <c r="H36" s="174"/>
      <c r="I36" s="174"/>
      <c r="J36" s="174"/>
      <c r="K36" s="174"/>
      <c r="L36" s="174"/>
      <c r="M36" s="174"/>
      <c r="N36" s="174"/>
    </row>
    <row r="37" spans="1:14" s="92" customFormat="1" ht="15" customHeight="1" thickBot="1" x14ac:dyDescent="0.2">
      <c r="A37" s="89" t="str">
        <f>計算用!B53</f>
        <v/>
      </c>
      <c r="B37" s="90"/>
      <c r="C37" s="90"/>
      <c r="D37" s="87"/>
      <c r="E37" s="87"/>
      <c r="F37" s="91"/>
      <c r="G37" s="88"/>
    </row>
    <row r="38" spans="1:14" ht="21" customHeight="1" thickBot="1" x14ac:dyDescent="0.2">
      <c r="A38" s="171" t="s">
        <v>119</v>
      </c>
      <c r="B38" s="171"/>
      <c r="C38" s="172"/>
      <c r="D38" s="85">
        <f>SUM(計算用!B44:B49)</f>
        <v>0</v>
      </c>
      <c r="E38" s="173" t="e">
        <f>計算用!B51</f>
        <v>#VALUE!</v>
      </c>
      <c r="F38" s="174"/>
      <c r="G38" s="174"/>
      <c r="H38" s="174"/>
      <c r="I38" s="174"/>
      <c r="J38" s="174"/>
      <c r="K38" s="174"/>
      <c r="L38" s="174"/>
      <c r="M38" s="174"/>
      <c r="N38" s="174"/>
    </row>
    <row r="39" spans="1:14" ht="15" customHeight="1" thickBot="1" x14ac:dyDescent="0.2">
      <c r="A39" s="77"/>
      <c r="B39" s="73"/>
      <c r="C39" s="73"/>
      <c r="D39" s="94"/>
      <c r="E39" s="86"/>
      <c r="F39" s="93"/>
      <c r="G39" s="93"/>
    </row>
    <row r="40" spans="1:14" ht="21" customHeight="1" thickBot="1" x14ac:dyDescent="0.2">
      <c r="A40" s="176" t="s">
        <v>116</v>
      </c>
      <c r="B40" s="176"/>
      <c r="C40" s="177"/>
      <c r="D40" s="95" t="e">
        <f>計算用!B52</f>
        <v>#VALUE!</v>
      </c>
      <c r="E40" s="96"/>
    </row>
    <row r="41" spans="1:14" x14ac:dyDescent="0.15">
      <c r="D41" s="98"/>
      <c r="E41" s="98"/>
    </row>
  </sheetData>
  <sheetProtection algorithmName="SHA-512" hashValue="vI+cHyxT3M8GgVYB4hnAyJp7/Wir+vPnmTwB1+FKzCPlotjo5FzILQZ3wYhwMEM4vL/By/jgC7PJuGXLshPK3Q==" saltValue="Pt5nVFu6mbdz2Wy+3ynyPg==" spinCount="100000" sheet="1" selectLockedCells="1"/>
  <mergeCells count="21">
    <mergeCell ref="E9:F9"/>
    <mergeCell ref="E10:F10"/>
    <mergeCell ref="E11:F11"/>
    <mergeCell ref="E12:F12"/>
    <mergeCell ref="E19:F19"/>
    <mergeCell ref="E18:F18"/>
    <mergeCell ref="E13:F13"/>
    <mergeCell ref="E14:F14"/>
    <mergeCell ref="E15:F15"/>
    <mergeCell ref="E16:F16"/>
    <mergeCell ref="E17:F17"/>
    <mergeCell ref="A40:C40"/>
    <mergeCell ref="A36:C36"/>
    <mergeCell ref="E36:N36"/>
    <mergeCell ref="E33:N33"/>
    <mergeCell ref="E34:N34"/>
    <mergeCell ref="E31:N31"/>
    <mergeCell ref="E32:N32"/>
    <mergeCell ref="A38:C38"/>
    <mergeCell ref="E38:N38"/>
    <mergeCell ref="E23:F23"/>
  </mergeCells>
  <phoneticPr fontId="2"/>
  <conditionalFormatting sqref="D19">
    <cfRule type="cellIs" dxfId="6" priority="4" stopIfTrue="1" operator="greaterThan">
      <formula>$D$21</formula>
    </cfRule>
  </conditionalFormatting>
  <conditionalFormatting sqref="D23:D24">
    <cfRule type="cellIs" dxfId="5" priority="5" stopIfTrue="1" operator="greaterThan">
      <formula>$D$21</formula>
    </cfRule>
  </conditionalFormatting>
  <conditionalFormatting sqref="D36:E36 D38:E40">
    <cfRule type="cellIs" dxfId="4" priority="2" stopIfTrue="1" operator="between">
      <formula>-20000000</formula>
      <formula>20000000</formula>
    </cfRule>
  </conditionalFormatting>
  <conditionalFormatting sqref="D37:E37">
    <cfRule type="cellIs" dxfId="3" priority="1" stopIfTrue="1" operator="between">
      <formula>-999999</formula>
      <formula>999999</formula>
    </cfRule>
  </conditionalFormatting>
  <conditionalFormatting sqref="E19:F19">
    <cfRule type="cellIs" dxfId="2" priority="3" stopIfTrue="1" operator="greaterThan">
      <formula>$F$21</formula>
    </cfRule>
  </conditionalFormatting>
  <conditionalFormatting sqref="E23:F24">
    <cfRule type="cellIs" dxfId="1" priority="6" stopIfTrue="1" operator="greaterThan">
      <formula>$F$21</formula>
    </cfRule>
  </conditionalFormatting>
  <dataValidations count="18">
    <dataValidation type="whole" imeMode="disabled" operator="greaterThan" allowBlank="1" showInputMessage="1" showErrorMessage="1" errorTitle="給料月額" error="数字を入力してください！" sqref="F6 D6 F21:F22" xr:uid="{00000000-0002-0000-0000-000000000000}">
      <formula1>0</formula1>
    </dataValidation>
    <dataValidation type="whole" imeMode="disabled" allowBlank="1" showInputMessage="1" showErrorMessage="1" errorTitle="一部繰上償還額（毎月部分）" error="希望する一部繰上償還額（毎月部分）を入力してください！" sqref="D32" xr:uid="{00000000-0002-0000-0000-000001000000}">
      <formula1>0</formula1>
      <formula2>18000000</formula2>
    </dataValidation>
    <dataValidation type="whole" imeMode="disabled" allowBlank="1" showInputMessage="1" showErrorMessage="1" errorTitle="一繰後の償還回数（毎月部分）" error="希望する一繰後の償還回数（毎月部分）を入力してください！" sqref="D31" xr:uid="{00000000-0002-0000-0000-000002000000}">
      <formula1>0</formula1>
      <formula2>360</formula2>
    </dataValidation>
    <dataValidation type="whole" imeMode="disabled" allowBlank="1" showInputMessage="1" showErrorMessage="1" errorTitle="一繰後の償還回数（ボーナス部分）" error="希望する一繰後の償還回数（ボーナス部分）を入力してください！" sqref="D33" xr:uid="{00000000-0002-0000-0000-000003000000}">
      <formula1>0</formula1>
      <formula2>60</formula2>
    </dataValidation>
    <dataValidation type="whole" imeMode="disabled" allowBlank="1" showInputMessage="1" showErrorMessage="1" errorTitle="一繰償還額（ボーナス部分）" error="希望する一繰後の償還額（ボーナス部分）を入力してください！" sqref="D34" xr:uid="{00000000-0002-0000-0000-000004000000}">
      <formula1>0</formula1>
      <formula2>9500000</formula2>
    </dataValidation>
    <dataValidation type="whole" imeMode="disabled" showInputMessage="1" showErrorMessage="1" errorTitle="未償還回数（毎月）" error="１月末時点の未償還回数(毎月)を入力してください！" sqref="D26" xr:uid="{00000000-0002-0000-0000-000005000000}">
      <formula1>0</formula1>
      <formula2>360</formula2>
    </dataValidation>
    <dataValidation type="whole" imeMode="disabled" showInputMessage="1" showErrorMessage="1" errorTitle="未償還元金（毎月）" error="１月末時点の未償還元金(毎月)を入力してください！" sqref="D27" xr:uid="{00000000-0002-0000-0000-000006000000}">
      <formula1>0</formula1>
      <formula2>18000000</formula2>
    </dataValidation>
    <dataValidation type="whole" imeMode="disabled" showInputMessage="1" showErrorMessage="1" errorTitle="未償還回数（ボーナス）" error="１月末時点の未償還回数(ボーナス)を入力してください！" sqref="D28" xr:uid="{00000000-0002-0000-0000-000007000000}">
      <formula1>0</formula1>
      <formula2>60</formula2>
    </dataValidation>
    <dataValidation type="whole" showInputMessage="1" showErrorMessage="1" errorTitle="未償還元金（ボーナス）" error="12月末時点の未償還元金（ボーナス）を入力してください！" sqref="D30" xr:uid="{00000000-0002-0000-0000-000008000000}">
      <formula1>0</formula1>
      <formula2>8000000</formula2>
    </dataValidation>
    <dataValidation type="whole" imeMode="disabled" operator="greaterThanOrEqual" allowBlank="1" showInputMessage="1" showErrorMessage="1" errorTitle="借受中の貸付金の一回当たりの償還額" error="数字を入力してください！" sqref="D10:D18" xr:uid="{00000000-0002-0000-0000-000009000000}">
      <formula1>0</formula1>
    </dataValidation>
    <dataValidation type="whole" imeMode="disabled" allowBlank="1" showInputMessage="1" showErrorMessage="1" errorTitle="給料月額" error="数字を入力してください！" sqref="D7:D8" xr:uid="{00000000-0002-0000-0000-00000A000000}">
      <formula1>0</formula1>
      <formula2>18000000</formula2>
    </dataValidation>
    <dataValidation type="textLength" errorStyle="warning" imeMode="disabled" allowBlank="1" showInputMessage="1" showErrorMessage="1" errorTitle="所属コード" error="所属コードは４桁又は５桁です！" sqref="D1" xr:uid="{00000000-0002-0000-0000-00000B000000}">
      <formula1>4</formula1>
      <formula2>5</formula2>
    </dataValidation>
    <dataValidation type="textLength" errorStyle="warning" imeMode="disabled" allowBlank="1" showInputMessage="1" showErrorMessage="1" errorTitle="組合員証番号" error="組合員証番号は６桁です！" sqref="D2" xr:uid="{00000000-0002-0000-0000-00000C000000}">
      <formula1>6</formula1>
      <formula2>6</formula2>
    </dataValidation>
    <dataValidation type="list" imeMode="disabled" allowBlank="1" showInputMessage="1" showErrorMessage="1" promptTitle="貸付種別の入力" prompt="右の矢印をクリックして、リストから選択してください！" sqref="D3" xr:uid="{00000000-0002-0000-0000-00000D000000}">
      <formula1>"一般 11,住宅災害 21,住宅 31,教育 41,災害 51,医療 61,結婚 71,葬祭 72,介護 81"</formula1>
    </dataValidation>
    <dataValidation type="textLength" errorStyle="warning" imeMode="disabled" allowBlank="1" showInputMessage="1" showErrorMessage="1" errorTitle="貸付番号" error="5桁又は6桁です。" sqref="D4" xr:uid="{00000000-0002-0000-0000-00000E000000}">
      <formula1>5</formula1>
      <formula2>6</formula2>
    </dataValidation>
    <dataValidation type="list" errorStyle="warning" allowBlank="1" showInputMessage="1" showErrorMessage="1" errorTitle="借受年月日" error="リストから選択してください！" promptTitle="借受年月日" prompt="右の矢印をクリックして、リストから選択してください！" sqref="D5" xr:uid="{00000000-0002-0000-0000-00000F000000}">
      <formula1>"はい　1,いいえ 0"</formula1>
    </dataValidation>
    <dataValidation type="whole" imeMode="disabled" operator="greaterThanOrEqual" allowBlank="1" showInputMessage="1" showErrorMessage="1" errorTitle="借受中の貸付金の一回当たりの償還額" error="数字を入力してください！" promptTitle="ボーナス償還額" prompt="既にボーナス償還部分が終了している（ボーナスの未償還元金０円）ときは「０」を入力してください！" sqref="E10:F18" xr:uid="{00000000-0002-0000-0000-000010000000}">
      <formula1>0</formula1>
    </dataValidation>
    <dataValidation type="whole" imeMode="disabled" showInputMessage="1" showErrorMessage="1" errorTitle="未償還元金（ボーナス）" error="１月末時点の未償還元金（ボーナス）を入力してください！" sqref="D29" xr:uid="{00000000-0002-0000-0000-000011000000}">
      <formula1>0</formula1>
      <formula2>9500000</formula2>
    </dataValidation>
  </dataValidations>
  <pageMargins left="0.28999999999999998" right="0.2" top="0.74" bottom="0.66" header="0.51200000000000001" footer="0.51200000000000001"/>
  <pageSetup paperSize="9" scale="90" orientation="portrait" r:id="rId1"/>
  <headerFooter alignWithMargins="0"/>
  <cellWatches>
    <cellWatch r="D1"/>
  </cellWatches>
  <ignoredErrors>
    <ignoredError sqref="F3"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A45"/>
  <sheetViews>
    <sheetView zoomScaleNormal="100" workbookViewId="0">
      <selection activeCell="A4" sqref="A4:AA4"/>
    </sheetView>
  </sheetViews>
  <sheetFormatPr defaultRowHeight="13.5" x14ac:dyDescent="0.15"/>
  <cols>
    <col min="1" max="3" width="3.25" customWidth="1"/>
    <col min="4" max="6" width="3.625" customWidth="1"/>
    <col min="7" max="9" width="4" customWidth="1"/>
    <col min="10" max="27" width="3.25" customWidth="1"/>
  </cols>
  <sheetData>
    <row r="1" spans="1:27" ht="17.25" customHeight="1" x14ac:dyDescent="0.15">
      <c r="U1" s="220" t="s">
        <v>89</v>
      </c>
      <c r="V1" s="221"/>
      <c r="W1" s="222"/>
      <c r="X1" s="220" t="s">
        <v>90</v>
      </c>
      <c r="Y1" s="221"/>
      <c r="Z1" s="221"/>
      <c r="AA1" s="222"/>
    </row>
    <row r="2" spans="1:27" ht="17.25" customHeight="1" x14ac:dyDescent="0.15">
      <c r="G2" s="2"/>
      <c r="H2" s="2"/>
      <c r="U2" s="260"/>
      <c r="V2" s="261"/>
      <c r="W2" s="262"/>
      <c r="X2" s="260"/>
      <c r="Y2" s="261"/>
      <c r="Z2" s="261"/>
      <c r="AA2" s="262"/>
    </row>
    <row r="3" spans="1:27" ht="17.25" customHeight="1" x14ac:dyDescent="0.15">
      <c r="G3" s="2"/>
      <c r="H3" s="2"/>
      <c r="U3" s="263"/>
      <c r="V3" s="264"/>
      <c r="W3" s="265"/>
      <c r="X3" s="263"/>
      <c r="Y3" s="264"/>
      <c r="Z3" s="264"/>
      <c r="AA3" s="265"/>
    </row>
    <row r="4" spans="1:27" ht="27" customHeight="1" x14ac:dyDescent="0.15">
      <c r="A4" s="266" t="s">
        <v>10</v>
      </c>
      <c r="B4" s="266"/>
      <c r="C4" s="266"/>
      <c r="D4" s="266"/>
      <c r="E4" s="266"/>
      <c r="F4" s="266"/>
      <c r="G4" s="266"/>
      <c r="H4" s="266"/>
      <c r="I4" s="266"/>
      <c r="J4" s="266"/>
      <c r="K4" s="266"/>
      <c r="L4" s="266"/>
      <c r="M4" s="266"/>
      <c r="N4" s="266"/>
      <c r="O4" s="266"/>
      <c r="P4" s="266"/>
      <c r="Q4" s="266"/>
      <c r="R4" s="266"/>
      <c r="S4" s="266"/>
      <c r="T4" s="266"/>
      <c r="U4" s="266"/>
      <c r="V4" s="266"/>
      <c r="W4" s="266"/>
      <c r="X4" s="266"/>
      <c r="Y4" s="266"/>
      <c r="Z4" s="266"/>
      <c r="AA4" s="266"/>
    </row>
    <row r="5" spans="1:27" x14ac:dyDescent="0.15">
      <c r="A5" s="220" t="s">
        <v>11</v>
      </c>
      <c r="B5" s="222"/>
      <c r="C5" s="220" t="s">
        <v>12</v>
      </c>
      <c r="D5" s="221"/>
      <c r="E5" s="222"/>
    </row>
    <row r="6" spans="1:27" ht="13.5" customHeight="1" x14ac:dyDescent="0.15">
      <c r="A6" s="13">
        <v>1</v>
      </c>
      <c r="B6" s="11">
        <v>2</v>
      </c>
      <c r="C6" s="10">
        <v>3</v>
      </c>
      <c r="D6" s="14"/>
      <c r="E6" s="11">
        <v>5</v>
      </c>
    </row>
    <row r="7" spans="1:27" ht="17.25" customHeight="1" x14ac:dyDescent="0.15">
      <c r="A7" s="254">
        <v>0</v>
      </c>
      <c r="B7" s="256">
        <v>1</v>
      </c>
      <c r="C7" s="254">
        <v>5</v>
      </c>
      <c r="D7" s="258">
        <v>2</v>
      </c>
      <c r="E7" s="256">
        <v>2</v>
      </c>
      <c r="H7" s="185" t="s">
        <v>13</v>
      </c>
      <c r="I7" s="186"/>
      <c r="J7" s="186"/>
      <c r="K7" s="186"/>
      <c r="L7" s="187"/>
      <c r="M7" s="220" t="s">
        <v>14</v>
      </c>
      <c r="N7" s="221"/>
      <c r="O7" s="221"/>
      <c r="P7" s="221"/>
      <c r="Q7" s="221"/>
      <c r="R7" s="222"/>
    </row>
    <row r="8" spans="1:27" x14ac:dyDescent="0.15">
      <c r="A8" s="255"/>
      <c r="B8" s="257"/>
      <c r="C8" s="255"/>
      <c r="D8" s="259"/>
      <c r="E8" s="257"/>
      <c r="H8" s="188"/>
      <c r="I8" s="189"/>
      <c r="J8" s="189"/>
      <c r="K8" s="189"/>
      <c r="L8" s="190"/>
      <c r="M8" s="15">
        <v>7</v>
      </c>
      <c r="N8" s="10"/>
      <c r="O8" s="14"/>
      <c r="P8" s="14"/>
      <c r="Q8" s="14"/>
      <c r="R8" s="11">
        <v>12</v>
      </c>
    </row>
    <row r="9" spans="1:27" ht="27" customHeight="1" x14ac:dyDescent="0.15">
      <c r="H9" s="46" t="str">
        <f>IF(LEN(入力フォーム!$F$1)&lt;4,"",IF(LEN(入力フォーム!$F$1)=4,"",MID(入力フォーム!$F$1,1,1)))</f>
        <v/>
      </c>
      <c r="I9" s="47" t="str">
        <f>IF(LEN(入力フォーム!$F$1)&lt;4,"",IF(LEN(入力フォーム!$F$1)=4,MID(入力フォーム!$F$1,1,1),MID(入力フォーム!$F$1,2,1)))</f>
        <v/>
      </c>
      <c r="J9" s="48" t="str">
        <f>IF(LEN(入力フォーム!$F$1)&lt;4,"",IF(LEN(入力フォーム!$F$1)=4,MID(入力フォーム!$F$1,2,1),MID(入力フォーム!$F$1,3,1)))</f>
        <v/>
      </c>
      <c r="K9" s="48" t="str">
        <f>IF(LEN(入力フォーム!$F$1)&lt;4,"",IF(LEN(入力フォーム!$F$1)=4,MID(入力フォーム!$F$1,3,1),MID(入力フォーム!$F$1,4,1)))</f>
        <v/>
      </c>
      <c r="L9" s="49" t="str">
        <f>IF(LEN(入力フォーム!$F$1)&lt;4,"",IF(LEN(入力フォーム!$F$1)=4,MID(入力フォーム!$F$1,4,1),MID(入力フォーム!$F$1,5,1)))</f>
        <v/>
      </c>
      <c r="M9" s="50" t="str">
        <f>IF(LEN(入力フォーム!$F$2)&lt;6,"",MID(入力フォーム!$F$2,1,1))</f>
        <v/>
      </c>
      <c r="N9" s="51" t="str">
        <f>IF(LEN(入力フォーム!$F$2)&lt;6,"",MID(入力フォーム!$F$2,2,1))</f>
        <v/>
      </c>
      <c r="O9" s="48" t="str">
        <f>IF(LEN(入力フォーム!$F$2)&lt;6,"",MID(入力フォーム!$F$2,3,1))</f>
        <v/>
      </c>
      <c r="P9" s="48" t="str">
        <f>IF(LEN(入力フォーム!$F$2)&lt;6,"",MID(入力フォーム!$F$2,4,1))</f>
        <v/>
      </c>
      <c r="Q9" s="48" t="str">
        <f>IF(LEN(入力フォーム!$F$2)&lt;6,"",MID(入力フォーム!$F$2,5,1))</f>
        <v/>
      </c>
      <c r="R9" s="49" t="str">
        <f>IF(LEN(入力フォーム!$F$2)&lt;6,"",MID(入力フォーム!$F$2,6,1))</f>
        <v/>
      </c>
    </row>
    <row r="10" spans="1:27" x14ac:dyDescent="0.15">
      <c r="A10" s="267" t="s">
        <v>15</v>
      </c>
      <c r="B10" s="268"/>
      <c r="C10" s="268"/>
      <c r="D10" s="268"/>
      <c r="E10" s="268"/>
      <c r="F10" s="268"/>
      <c r="G10" s="268"/>
      <c r="H10" s="268"/>
      <c r="I10" s="268"/>
      <c r="J10" s="269"/>
      <c r="K10" s="220" t="s">
        <v>16</v>
      </c>
      <c r="L10" s="222"/>
      <c r="M10" s="220" t="s">
        <v>17</v>
      </c>
      <c r="N10" s="221"/>
      <c r="O10" s="221"/>
      <c r="P10" s="221"/>
      <c r="Q10" s="221"/>
      <c r="R10" s="222"/>
    </row>
    <row r="11" spans="1:27" x14ac:dyDescent="0.15">
      <c r="A11" s="4" t="s">
        <v>18</v>
      </c>
      <c r="B11" s="5"/>
      <c r="C11" s="5"/>
      <c r="D11" s="5"/>
      <c r="E11" s="5"/>
      <c r="F11" s="5"/>
      <c r="G11" s="5"/>
      <c r="H11" s="5"/>
      <c r="I11" s="5"/>
      <c r="J11" s="6"/>
      <c r="K11" s="13">
        <v>14</v>
      </c>
      <c r="L11" s="19">
        <v>15</v>
      </c>
      <c r="M11" s="13">
        <v>16</v>
      </c>
      <c r="N11" s="14"/>
      <c r="O11" s="14"/>
      <c r="P11" s="14"/>
      <c r="Q11" s="14"/>
      <c r="R11" s="19">
        <v>21</v>
      </c>
    </row>
    <row r="12" spans="1:27" ht="13.5" customHeight="1" x14ac:dyDescent="0.15">
      <c r="A12" s="20" t="s">
        <v>19</v>
      </c>
      <c r="B12" s="21"/>
      <c r="C12" s="21"/>
      <c r="D12" s="21"/>
      <c r="E12" s="21"/>
      <c r="F12" s="21"/>
      <c r="G12" s="21"/>
      <c r="H12" s="21"/>
      <c r="I12" s="21"/>
      <c r="J12" s="22"/>
      <c r="K12" s="274" t="str">
        <f>MID(入力フォーム!$F$3,1,1)</f>
        <v/>
      </c>
      <c r="L12" s="272" t="str">
        <f>MID(入力フォーム!$F$3,2,1)</f>
        <v/>
      </c>
      <c r="M12" s="274" t="str">
        <f>IF(LEN(入力フォーム!$F$4)&lt;=4,"",IF(LEN(入力フォーム!$F$4)=5,0,MID(入力フォーム!$F$4,1,1)))</f>
        <v/>
      </c>
      <c r="N12" s="270" t="str">
        <f>IF(LEN(入力フォーム!$F$4)&lt;=4,"",IF(LEN(入力フォーム!$F$4)=5,MID(入力フォーム!$F$4,1,1),MID(入力フォーム!$F$4,2,1)))</f>
        <v/>
      </c>
      <c r="O12" s="270" t="str">
        <f>IF(LEN(入力フォーム!$F$4)&lt;=4,"",IF(LEN(入力フォーム!$F$4)=5,MID(入力フォーム!$F$4,2,1),MID(入力フォーム!$F$4,3,1)))</f>
        <v/>
      </c>
      <c r="P12" s="270" t="str">
        <f>IF(LEN(入力フォーム!$F$4)&lt;=4,"",IF(LEN(入力フォーム!$F$4)=5,MID(入力フォーム!$F$4,3,1),MID(入力フォーム!$F$4,4,1)))</f>
        <v/>
      </c>
      <c r="Q12" s="270" t="str">
        <f>IF(LEN(入力フォーム!$F$4)&lt;=4,"",IF(LEN(入力フォーム!$F$4)=5,MID(入力フォーム!$F$4,4,1),MID(入力フォーム!$F$4,5,1)))</f>
        <v/>
      </c>
      <c r="R12" s="272" t="str">
        <f>IF(LEN(入力フォーム!$F$4)&lt;=4,"",IF(LEN(入力フォーム!$F$4)=5,MID(入力フォーム!$F$4,5,1),MID(入力フォーム!$F$4,6,1)))</f>
        <v/>
      </c>
    </row>
    <row r="13" spans="1:27" ht="13.5" customHeight="1" x14ac:dyDescent="0.15">
      <c r="A13" s="7" t="s">
        <v>20</v>
      </c>
      <c r="B13" s="8"/>
      <c r="C13" s="8"/>
      <c r="D13" s="8"/>
      <c r="E13" s="8"/>
      <c r="F13" s="8"/>
      <c r="G13" s="8"/>
      <c r="H13" s="8"/>
      <c r="I13" s="8"/>
      <c r="J13" s="9"/>
      <c r="K13" s="275"/>
      <c r="L13" s="273"/>
      <c r="M13" s="275" t="str">
        <f>IF(LEN(入力フォーム!$F$1)&lt;=3,"",IF(LEN(入力フォーム!$F$1)=4,"",MID(入力フォーム!$F$1,1,1)))</f>
        <v/>
      </c>
      <c r="N13" s="271" t="str">
        <f>IF(LEN(入力フォーム!$F$1)&lt;=3,"",IF(LEN(入力フォーム!$F$1)=4,"",MID(入力フォーム!$F$1,1,1)))</f>
        <v/>
      </c>
      <c r="O13" s="271" t="str">
        <f>IF(LEN(入力フォーム!$F$1)&lt;=3,"",IF(LEN(入力フォーム!$F$1)=4,"",MID(入力フォーム!$F$1,1,1)))</f>
        <v/>
      </c>
      <c r="P13" s="271" t="str">
        <f>IF(LEN(入力フォーム!$F$1)&lt;=3,"",IF(LEN(入力フォーム!$F$1)=4,"",MID(入力フォーム!$F$1,1,1)))</f>
        <v/>
      </c>
      <c r="Q13" s="271" t="str">
        <f>IF(LEN(入力フォーム!$F$1)&lt;=3,"",IF(LEN(入力フォーム!$F$1)=4,"",MID(入力フォーム!$F$1,1,1)))</f>
        <v/>
      </c>
      <c r="R13" s="273" t="str">
        <f>IF(LEN(入力フォーム!$F$1)&lt;=3,"",IF(LEN(入力フォーム!$F$1)=4,"",MID(入力フォーム!$F$1,1,1)))</f>
        <v/>
      </c>
    </row>
    <row r="14" spans="1:27" x14ac:dyDescent="0.15">
      <c r="A14" s="185" t="s">
        <v>21</v>
      </c>
      <c r="B14" s="186"/>
      <c r="C14" s="187"/>
      <c r="D14" s="251" t="s">
        <v>192</v>
      </c>
      <c r="E14" s="252"/>
      <c r="F14" s="252"/>
      <c r="G14" s="252"/>
      <c r="H14" s="252"/>
      <c r="I14" s="253"/>
      <c r="J14" s="185" t="s">
        <v>22</v>
      </c>
      <c r="K14" s="186"/>
      <c r="L14" s="186"/>
      <c r="M14" s="186"/>
      <c r="N14" s="186"/>
      <c r="O14" s="186"/>
      <c r="P14" s="186"/>
      <c r="Q14" s="187"/>
      <c r="R14" s="220" t="s">
        <v>23</v>
      </c>
      <c r="S14" s="221"/>
      <c r="T14" s="221"/>
      <c r="U14" s="221"/>
      <c r="V14" s="221"/>
      <c r="W14" s="221"/>
      <c r="X14" s="221"/>
      <c r="Y14" s="221"/>
      <c r="Z14" s="221"/>
      <c r="AA14" s="222"/>
    </row>
    <row r="15" spans="1:27" x14ac:dyDescent="0.15">
      <c r="A15" s="188"/>
      <c r="B15" s="189"/>
      <c r="C15" s="190"/>
      <c r="D15" s="251" t="s">
        <v>24</v>
      </c>
      <c r="E15" s="252"/>
      <c r="F15" s="253"/>
      <c r="G15" s="251" t="s">
        <v>25</v>
      </c>
      <c r="H15" s="252"/>
      <c r="I15" s="253"/>
      <c r="J15" s="188" t="s">
        <v>26</v>
      </c>
      <c r="K15" s="189"/>
      <c r="L15" s="189"/>
      <c r="M15" s="189"/>
      <c r="N15" s="189"/>
      <c r="O15" s="189"/>
      <c r="P15" s="189"/>
      <c r="Q15" s="190"/>
      <c r="R15" s="220" t="s">
        <v>27</v>
      </c>
      <c r="S15" s="221"/>
      <c r="T15" s="222"/>
      <c r="U15" s="195" t="s">
        <v>28</v>
      </c>
      <c r="V15" s="196"/>
      <c r="W15" s="196"/>
      <c r="X15" s="196"/>
      <c r="Y15" s="196"/>
      <c r="Z15" s="196"/>
      <c r="AA15" s="197"/>
    </row>
    <row r="16" spans="1:27" x14ac:dyDescent="0.15">
      <c r="A16" s="185" t="s">
        <v>29</v>
      </c>
      <c r="B16" s="186"/>
      <c r="C16" s="187"/>
      <c r="D16" s="239">
        <f>入力フォーム!D26</f>
        <v>0</v>
      </c>
      <c r="E16" s="240"/>
      <c r="F16" s="241"/>
      <c r="G16" s="245">
        <f>入力フォーム!D27</f>
        <v>0</v>
      </c>
      <c r="H16" s="246"/>
      <c r="I16" s="247"/>
      <c r="J16" s="23">
        <v>22</v>
      </c>
      <c r="K16" s="19"/>
      <c r="L16" s="12"/>
      <c r="M16" s="14"/>
      <c r="N16" s="24"/>
      <c r="O16" s="13"/>
      <c r="P16" s="14"/>
      <c r="Q16" s="11">
        <v>29</v>
      </c>
      <c r="R16" s="10">
        <v>30</v>
      </c>
      <c r="S16" s="14"/>
      <c r="T16" s="11">
        <v>32</v>
      </c>
      <c r="U16" s="15">
        <v>33</v>
      </c>
      <c r="V16" s="10"/>
      <c r="W16" s="14"/>
      <c r="X16" s="11"/>
      <c r="Y16" s="10"/>
      <c r="Z16" s="14"/>
      <c r="AA16" s="11">
        <v>39</v>
      </c>
    </row>
    <row r="17" spans="1:27" ht="27" customHeight="1" x14ac:dyDescent="0.15">
      <c r="A17" s="188"/>
      <c r="B17" s="189"/>
      <c r="C17" s="190"/>
      <c r="D17" s="242"/>
      <c r="E17" s="243"/>
      <c r="F17" s="244"/>
      <c r="G17" s="248"/>
      <c r="H17" s="249"/>
      <c r="I17" s="250"/>
      <c r="J17" s="51">
        <f>IF(LEN(入力フォーム!$D$32)&lt;8,0,MID(入力フォーム!$D$32,1,1))</f>
        <v>0</v>
      </c>
      <c r="K17" s="49">
        <f>IF(LEN(入力フォーム!$D$32)&lt;7,0,IF(LEN(入力フォーム!$D$32)=8,MID(入力フォーム!$D$32,2,1),MID(入力フォーム!$D$32,1,1)))</f>
        <v>0</v>
      </c>
      <c r="L17" s="51">
        <f>IF(LEN(入力フォーム!$D$32)&lt;6,0,IF(LEN(入力フォーム!$D$32)=8,MID(入力フォーム!$D$32,3,1),IF(LEN(入力フォーム!$D$32)=7,MID(入力フォーム!$D$32,2,1),MID(入力フォーム!$D$32,1,1))))</f>
        <v>0</v>
      </c>
      <c r="M17" s="48">
        <f>IF(LEN(入力フォーム!$D$32)&lt;5,0,IF(LEN(入力フォーム!$D$32)=8,MID(入力フォーム!$D$32,4,1),IF(LEN(入力フォーム!$D$32)=7,MID(入力フォーム!$D$32,3,1),IF(LEN(入力フォーム!$D$32)=6,MID(入力フォーム!$D$32,2,1),MID(入力フォーム!$D$32,1,1)))))</f>
        <v>0</v>
      </c>
      <c r="N17" s="49">
        <f>IF(LEN(入力フォーム!$D$32)&lt;4,0,IF(LEN(入力フォーム!$D$32)=8,MID(入力フォーム!$D$32,5,1),IF(LEN(入力フォーム!$D$32)=7,MID(入力フォーム!$D$32,4,1),IF(LEN(入力フォーム!$D$32)=6,MID(入力フォーム!$D$32,3,1),IF(LEN(入力フォーム!$D$32)=5,MID(入力フォーム!$D$32,2,1),MID(入力フォーム!$D$32,1,1))))))</f>
        <v>0</v>
      </c>
      <c r="O17" s="51">
        <f>IF(LEN(入力フォーム!$D$32)&lt;3,0,IF(LEN(入力フォーム!$D$32)=8,MID(入力フォーム!$D$32,6,1),IF(LEN(入力フォーム!$D$32)=7,MID(入力フォーム!$D$32,5,1),IF(LEN(入力フォーム!$D$32)=6,MID(入力フォーム!$D$32,4,1),IF(LEN(入力フォーム!$D$32)=5,MID(入力フォーム!$D$32,3,1),IF(LEN(入力フォーム!$D$32)=4,MID(入力フォーム!$D$32,2,1),MID(入力フォーム!$D$32,1,1)))))))</f>
        <v>0</v>
      </c>
      <c r="P17" s="48">
        <f>IF(LEN(入力フォーム!$D$32)&lt;2,0,IF(LEN(入力フォーム!$D$32)=8,MID(入力フォーム!$D$32,7,1),IF(LEN(入力フォーム!$D$32)=7,MID(入力フォーム!$D$32,6,1),IF(LEN(入力フォーム!$D$32)=6,MID(入力フォーム!$D$32,5,1),IF(LEN(入力フォーム!$D$32)=5,MID(入力フォーム!$D$32,4,1),IF(LEN(入力フォーム!$D$32)=4,MID(入力フォーム!$D$32,3,1),IF(LEN(入力フォーム!$D$32)=3,MID(入力フォーム!$D$32,2,1),MID(入力フォーム!$D$32,1,1))))))))</f>
        <v>0</v>
      </c>
      <c r="Q17" s="49">
        <f>IF(AND(入力フォーム!D32=0,入力フォーム!D32=""),0,RIGHT(入力フォーム!D32,1))</f>
        <v>0</v>
      </c>
      <c r="R17" s="52">
        <f>IF(LEN(入力フォーム!D31)&lt;3,0,MID(入力フォーム!D31,1,1))</f>
        <v>0</v>
      </c>
      <c r="S17" s="48">
        <f>IF(LEN(入力フォーム!D31)&lt;2,0,IF(LEN(入力フォーム!D31)=3,MID(入力フォーム!D31,2,1),MID(入力フォーム!D31,1,1)))</f>
        <v>0</v>
      </c>
      <c r="T17" s="49">
        <f>IF(AND(入力フォーム!D31=0,入力フォーム!D31=""),0,RIGHT(入力フォーム!D31,1))</f>
        <v>0</v>
      </c>
      <c r="U17" s="50">
        <v>0</v>
      </c>
      <c r="V17" s="51">
        <f>IF(LEN(入力フォーム!$D$36)&lt;6,0,IF(LEN(入力フォーム!$D$36)=6,MID(入力フォーム!$D$36,1,1),0))</f>
        <v>0</v>
      </c>
      <c r="W17" s="48">
        <f>IF(LEN(入力フォーム!$D$36)&lt;5,0,IF(LEN(入力フォーム!$D$36)=6,MID(入力フォーム!$D$36,2,1),IF(LEN(入力フォーム!$D$36)=5,MID(入力フォーム!$D$36,1,1),0)))</f>
        <v>0</v>
      </c>
      <c r="X17" s="49">
        <f>IF(LEN(入力フォーム!$D$36)&lt;4,0,IF(LEN(入力フォーム!$D$36)=6,MID(入力フォーム!$D$36,3,1),IF(LEN(入力フォーム!$D$36)=5,MID(入力フォーム!$D$36,2,1),IF(LEN(入力フォーム!$D$36)=4,MID(入力フォーム!$D$36,1,1),0))))</f>
        <v>0</v>
      </c>
      <c r="Y17" s="51">
        <f>IF(LEN(入力フォーム!$D$36)&lt;3,0,IF(LEN(入力フォーム!$D$36)=6,MID(入力フォーム!$D$36,4,1),IF(LEN(入力フォーム!$D$36)=5,MID(入力フォーム!$D$36,3,1),IF(LEN(入力フォーム!$D$36)=4,MID(入力フォーム!$D$36,2,1),IF(LEN(入力フォーム!$D$36)=3,MID(入力フォーム!$D$36,1,1),0)))))</f>
        <v>0</v>
      </c>
      <c r="Z17" s="48">
        <f>IF(LEN(入力フォーム!$D$36)&lt;2,0,IF(LEN(入力フォーム!$D$36)=6,MID(入力フォーム!$D$36,5,1),IF(LEN(入力フォーム!$D$36)=5,MID(入力フォーム!$D$36,4,1),IF(LEN(入力フォーム!$D$36)=4,MID(入力フォーム!$D$36,3,1),IF(LEN(入力フォーム!$D$36)=3,MID(入力フォーム!$D$36,2,1),IF(LEN(入力フォーム!$D$36)=2,MID(入力フォーム!$D$36,1,1),0))))))</f>
        <v>0</v>
      </c>
      <c r="AA17" s="49" t="str">
        <f>RIGHT(入力フォーム!$D$36)</f>
        <v>0</v>
      </c>
    </row>
    <row r="18" spans="1:27" x14ac:dyDescent="0.15">
      <c r="A18" s="233" t="s">
        <v>30</v>
      </c>
      <c r="B18" s="234"/>
      <c r="C18" s="235"/>
      <c r="D18" s="239">
        <f>入力フォーム!D28</f>
        <v>0</v>
      </c>
      <c r="E18" s="240"/>
      <c r="F18" s="241"/>
      <c r="G18" s="245">
        <f>入力フォーム!D29</f>
        <v>0</v>
      </c>
      <c r="H18" s="246"/>
      <c r="I18" s="247"/>
      <c r="J18" s="13">
        <v>40</v>
      </c>
      <c r="K18" s="19"/>
      <c r="L18" s="13"/>
      <c r="M18" s="14"/>
      <c r="N18" s="19"/>
      <c r="O18" s="13"/>
      <c r="P18" s="14"/>
      <c r="Q18" s="19">
        <v>47</v>
      </c>
      <c r="R18" s="13">
        <v>48</v>
      </c>
      <c r="S18" s="14"/>
      <c r="T18" s="19">
        <v>50</v>
      </c>
      <c r="U18" s="15">
        <v>51</v>
      </c>
      <c r="V18" s="13"/>
      <c r="W18" s="14"/>
      <c r="X18" s="19"/>
      <c r="Y18" s="13"/>
      <c r="Z18" s="14"/>
      <c r="AA18" s="19">
        <v>57</v>
      </c>
    </row>
    <row r="19" spans="1:27" ht="27" customHeight="1" x14ac:dyDescent="0.15">
      <c r="A19" s="236"/>
      <c r="B19" s="237"/>
      <c r="C19" s="238"/>
      <c r="D19" s="242"/>
      <c r="E19" s="243"/>
      <c r="F19" s="244"/>
      <c r="G19" s="248"/>
      <c r="H19" s="249"/>
      <c r="I19" s="250"/>
      <c r="J19" s="51">
        <v>0</v>
      </c>
      <c r="K19" s="49">
        <f>IF(LEN(入力フォーム!$D$34)&lt;7,0,MID(入力フォーム!$D$34,1,1))</f>
        <v>0</v>
      </c>
      <c r="L19" s="51">
        <f>IF(LEN(入力フォーム!$D$34)&lt;6,0,IF(LEN(入力フォーム!$D$34)=7,MID(入力フォーム!$D$34,2,1),MID(入力フォーム!$D$34,1,1)))</f>
        <v>0</v>
      </c>
      <c r="M19" s="48">
        <f>IF(LEN(入力フォーム!$D$34)&lt;5,0,IF(LEN(入力フォーム!$D$34)=7,MID(入力フォーム!$D$34,3,1),IF(LEN(入力フォーム!$D$34)=6,MID(入力フォーム!$D$34,2,1),MID(入力フォーム!$D$34,1,1))))</f>
        <v>0</v>
      </c>
      <c r="N19" s="49">
        <f>IF(LEN(入力フォーム!$D$34)&lt;4,0,IF(LEN(入力フォーム!$D$34)=7,MID(入力フォーム!$D$34,4,1),IF(LEN(入力フォーム!$D$34)=6,MID(入力フォーム!$D$34,3,1),IF(LEN(入力フォーム!$D$34)=5,MID(入力フォーム!$D$34,2,1),MID(入力フォーム!$D$34,1,1)))))</f>
        <v>0</v>
      </c>
      <c r="O19" s="51">
        <f>IF(LEN(入力フォーム!$D$34)&lt;3,0,IF(LEN(入力フォーム!$D$34)=7,MID(入力フォーム!$D$34,5,1),IF(LEN(入力フォーム!$D$34)=6,MID(入力フォーム!$D$34,4,1),IF(LEN(入力フォーム!$D$34)=5,MID(入力フォーム!$D$34,3,1),IF(LEN(入力フォーム!$D$34)=4,MID(入力フォーム!$D$34,2,1),MID(入力フォーム!$D$34,1,1))))))</f>
        <v>0</v>
      </c>
      <c r="P19" s="48">
        <f>IF(LEN(入力フォーム!$D$34)&lt;2,0,IF(LEN(入力フォーム!$D$34)=7,MID(入力フォーム!$D$34,6,1),IF(LEN(入力フォーム!$D$34)=6,MID(入力フォーム!$D$34,5,1),IF(LEN(入力フォーム!$D$34)=5,MID(入力フォーム!$D$34,4,1),IF(LEN(入力フォーム!$D$34)=4,MID(入力フォーム!$D$34,3,1),IF(LEN(入力フォーム!$D$34)=3,MID(入力フォーム!$D$34,2,1),MID(入力フォーム!$D$34,1,1)))))))</f>
        <v>0</v>
      </c>
      <c r="Q19" s="49">
        <f>IF(AND(入力フォーム!D34=0,入力フォーム!D34=""),0,RIGHT(入力フォーム!D34,1))</f>
        <v>0</v>
      </c>
      <c r="R19" s="51">
        <v>0</v>
      </c>
      <c r="S19" s="48">
        <f>IF(LEN(入力フォーム!D33)&lt;2,0,MID(入力フォーム!D33,1,1))</f>
        <v>0</v>
      </c>
      <c r="T19" s="49">
        <f>IF(AND(入力フォーム!D33=0,入力フォーム!D33=""),0,RIGHT(入力フォーム!D33,1))</f>
        <v>0</v>
      </c>
      <c r="U19" s="50">
        <v>0</v>
      </c>
      <c r="V19" s="51">
        <f>IF(LEN(入力フォーム!$D$38)&lt;6,0,MID(入力フォーム!$D$38,1,1))</f>
        <v>0</v>
      </c>
      <c r="W19" s="48">
        <f>IF(LEN(入力フォーム!$D$38)&lt;5,0,IF(LEN(入力フォーム!$D$38)=6,MID(入力フォーム!$D$38,2,1),MID(入力フォーム!$D$38,1,1)))</f>
        <v>0</v>
      </c>
      <c r="X19" s="49">
        <f>IF(LEN(入力フォーム!$D$38)&lt;4,0,IF(LEN(入力フォーム!$D$38)=6,MID(入力フォーム!$D$38,3,1),IF(LEN(入力フォーム!$D$38)=5,MID(入力フォーム!$D$38,2,1),MID(入力フォーム!$D$38,1,1))))</f>
        <v>0</v>
      </c>
      <c r="Y19" s="51">
        <f>IF(LEN(入力フォーム!$D$38)&lt;3,0,IF(LEN(入力フォーム!$D$38)=6,MID(入力フォーム!$D$38,4,1),IF(LEN(入力フォーム!$D$38)=5,MID(入力フォーム!$D$38,3,1),IF(LEN(入力フォーム!$D$38)=4,MID(入力フォーム!$D$38,2,1),MID(入力フォーム!$D$38,1,1)))))</f>
        <v>0</v>
      </c>
      <c r="Z19" s="48">
        <f>IF(LEN(入力フォーム!$D$38)&lt;2,0,IF(LEN(入力フォーム!$D$38)=6,MID(入力フォーム!$D$38,5,1),IF(LEN(入力フォーム!$D$38)=5,MID(入力フォーム!$D$38,4,1),IF(LEN(入力フォーム!$D$38)=4,MID(入力フォーム!$D$38,3,1),IF(LEN(入力フォーム!$D$38)=3,MID(入力フォーム!$D$38,2,1),MID(入力フォーム!$D$38,1,1))))))</f>
        <v>0</v>
      </c>
      <c r="AA19" s="49" t="str">
        <f>RIGHT(入力フォーム!$D$38)</f>
        <v>0</v>
      </c>
    </row>
    <row r="20" spans="1:27" x14ac:dyDescent="0.15">
      <c r="R20" s="220" t="s">
        <v>31</v>
      </c>
      <c r="S20" s="221"/>
      <c r="T20" s="221"/>
      <c r="U20" s="221"/>
      <c r="V20" s="221"/>
      <c r="W20" s="221"/>
      <c r="X20" s="222"/>
      <c r="Y20" s="220" t="s">
        <v>32</v>
      </c>
      <c r="Z20" s="221"/>
      <c r="AA20" s="222"/>
    </row>
    <row r="21" spans="1:27" x14ac:dyDescent="0.15">
      <c r="J21" t="s">
        <v>33</v>
      </c>
      <c r="R21" s="13">
        <v>58</v>
      </c>
      <c r="S21" s="14"/>
      <c r="T21" s="14"/>
      <c r="U21" s="14"/>
      <c r="V21" s="14"/>
      <c r="W21" s="14"/>
      <c r="X21" s="19">
        <v>64</v>
      </c>
      <c r="Y21" s="13">
        <v>78</v>
      </c>
      <c r="Z21" s="14"/>
      <c r="AA21" s="19">
        <v>80</v>
      </c>
    </row>
    <row r="22" spans="1:27" ht="24" customHeight="1" x14ac:dyDescent="0.15">
      <c r="R22" s="18"/>
      <c r="S22" s="16"/>
      <c r="T22" s="16"/>
      <c r="U22" s="16"/>
      <c r="V22" s="16"/>
      <c r="W22" s="16"/>
      <c r="X22" s="17"/>
      <c r="Y22" s="18"/>
      <c r="Z22" s="16"/>
      <c r="AA22" s="17"/>
    </row>
    <row r="23" spans="1:27" ht="9" customHeight="1" x14ac:dyDescent="0.15"/>
    <row r="24" spans="1:27" ht="14.45" customHeight="1" x14ac:dyDescent="0.15">
      <c r="A24" s="185" t="s">
        <v>34</v>
      </c>
      <c r="B24" s="186"/>
      <c r="C24" s="186"/>
      <c r="D24" s="186"/>
      <c r="E24" s="187"/>
      <c r="F24" s="202">
        <f>入力フォーム!D6</f>
        <v>0</v>
      </c>
      <c r="G24" s="203"/>
      <c r="H24" s="203"/>
      <c r="I24" s="203"/>
      <c r="J24" s="203"/>
      <c r="K24" s="203"/>
      <c r="L24" s="203"/>
      <c r="M24" s="208" t="s">
        <v>35</v>
      </c>
      <c r="N24" s="226" t="s">
        <v>102</v>
      </c>
      <c r="O24" s="227"/>
      <c r="P24" s="232" t="s">
        <v>36</v>
      </c>
      <c r="Q24" s="196"/>
      <c r="R24" s="196"/>
      <c r="S24" s="197"/>
      <c r="T24" s="220" t="s">
        <v>29</v>
      </c>
      <c r="U24" s="221"/>
      <c r="V24" s="221"/>
      <c r="W24" s="222"/>
      <c r="X24" s="220" t="s">
        <v>30</v>
      </c>
      <c r="Y24" s="221"/>
      <c r="Z24" s="221"/>
      <c r="AA24" s="222"/>
    </row>
    <row r="25" spans="1:27" ht="17.45" customHeight="1" x14ac:dyDescent="0.15">
      <c r="A25" s="223"/>
      <c r="B25" s="224"/>
      <c r="C25" s="224"/>
      <c r="D25" s="224"/>
      <c r="E25" s="225"/>
      <c r="F25" s="204"/>
      <c r="G25" s="205"/>
      <c r="H25" s="205"/>
      <c r="I25" s="205"/>
      <c r="J25" s="205"/>
      <c r="K25" s="205"/>
      <c r="L25" s="205"/>
      <c r="M25" s="209"/>
      <c r="N25" s="228"/>
      <c r="O25" s="229"/>
      <c r="P25" s="195" t="s">
        <v>37</v>
      </c>
      <c r="Q25" s="196"/>
      <c r="R25" s="196"/>
      <c r="S25" s="197"/>
      <c r="T25" s="191">
        <f>入力フォーム!D10</f>
        <v>0</v>
      </c>
      <c r="U25" s="192"/>
      <c r="V25" s="192"/>
      <c r="W25" s="53" t="s">
        <v>35</v>
      </c>
      <c r="X25" s="191">
        <f>入力フォーム!E10</f>
        <v>0</v>
      </c>
      <c r="Y25" s="192"/>
      <c r="Z25" s="192"/>
      <c r="AA25" s="53" t="s">
        <v>35</v>
      </c>
    </row>
    <row r="26" spans="1:27" ht="17.45" customHeight="1" x14ac:dyDescent="0.15">
      <c r="A26" s="188"/>
      <c r="B26" s="189"/>
      <c r="C26" s="189"/>
      <c r="D26" s="189"/>
      <c r="E26" s="190"/>
      <c r="F26" s="206"/>
      <c r="G26" s="207"/>
      <c r="H26" s="207"/>
      <c r="I26" s="207"/>
      <c r="J26" s="207"/>
      <c r="K26" s="207"/>
      <c r="L26" s="207"/>
      <c r="M26" s="210"/>
      <c r="N26" s="228"/>
      <c r="O26" s="229"/>
      <c r="P26" s="220" t="s">
        <v>38</v>
      </c>
      <c r="Q26" s="221"/>
      <c r="R26" s="221"/>
      <c r="S26" s="222"/>
      <c r="T26" s="191">
        <f>入力フォーム!D11</f>
        <v>0</v>
      </c>
      <c r="U26" s="192"/>
      <c r="V26" s="192"/>
      <c r="W26" s="53" t="s">
        <v>35</v>
      </c>
      <c r="X26" s="191">
        <f>入力フォーム!E11</f>
        <v>0</v>
      </c>
      <c r="Y26" s="192"/>
      <c r="Z26" s="192"/>
      <c r="AA26" s="53" t="s">
        <v>35</v>
      </c>
    </row>
    <row r="27" spans="1:27" ht="17.45" customHeight="1" x14ac:dyDescent="0.15">
      <c r="A27" s="211" t="s">
        <v>177</v>
      </c>
      <c r="B27" s="212"/>
      <c r="C27" s="212"/>
      <c r="D27" s="212"/>
      <c r="E27" s="213"/>
      <c r="F27" s="202">
        <f>入力フォーム!D21</f>
        <v>0</v>
      </c>
      <c r="G27" s="203"/>
      <c r="H27" s="203"/>
      <c r="I27" s="203"/>
      <c r="J27" s="203"/>
      <c r="K27" s="203"/>
      <c r="L27" s="203"/>
      <c r="M27" s="208" t="s">
        <v>35</v>
      </c>
      <c r="N27" s="228"/>
      <c r="O27" s="229"/>
      <c r="P27" s="195" t="s">
        <v>39</v>
      </c>
      <c r="Q27" s="196"/>
      <c r="R27" s="196"/>
      <c r="S27" s="197"/>
      <c r="T27" s="191">
        <f>入力フォーム!D12</f>
        <v>0</v>
      </c>
      <c r="U27" s="192"/>
      <c r="V27" s="192"/>
      <c r="W27" s="53" t="s">
        <v>35</v>
      </c>
      <c r="X27" s="191">
        <f>入力フォーム!E12</f>
        <v>0</v>
      </c>
      <c r="Y27" s="192"/>
      <c r="Z27" s="192"/>
      <c r="AA27" s="53" t="s">
        <v>35</v>
      </c>
    </row>
    <row r="28" spans="1:27" ht="17.45" customHeight="1" x14ac:dyDescent="0.15">
      <c r="A28" s="214"/>
      <c r="B28" s="215"/>
      <c r="C28" s="215"/>
      <c r="D28" s="215"/>
      <c r="E28" s="216"/>
      <c r="F28" s="204"/>
      <c r="G28" s="205"/>
      <c r="H28" s="205"/>
      <c r="I28" s="205"/>
      <c r="J28" s="205"/>
      <c r="K28" s="205"/>
      <c r="L28" s="205"/>
      <c r="M28" s="209"/>
      <c r="N28" s="228"/>
      <c r="O28" s="229"/>
      <c r="P28" s="220" t="s">
        <v>40</v>
      </c>
      <c r="Q28" s="221"/>
      <c r="R28" s="221"/>
      <c r="S28" s="222"/>
      <c r="T28" s="191">
        <f>入力フォーム!D13</f>
        <v>0</v>
      </c>
      <c r="U28" s="192"/>
      <c r="V28" s="192"/>
      <c r="W28" s="53" t="s">
        <v>35</v>
      </c>
      <c r="X28" s="191">
        <f>入力フォーム!E13</f>
        <v>0</v>
      </c>
      <c r="Y28" s="192"/>
      <c r="Z28" s="192"/>
      <c r="AA28" s="53" t="s">
        <v>35</v>
      </c>
    </row>
    <row r="29" spans="1:27" ht="17.45" customHeight="1" x14ac:dyDescent="0.15">
      <c r="A29" s="217"/>
      <c r="B29" s="218"/>
      <c r="C29" s="218"/>
      <c r="D29" s="218"/>
      <c r="E29" s="219"/>
      <c r="F29" s="206"/>
      <c r="G29" s="207"/>
      <c r="H29" s="207"/>
      <c r="I29" s="207"/>
      <c r="J29" s="207"/>
      <c r="K29" s="207"/>
      <c r="L29" s="207"/>
      <c r="M29" s="210"/>
      <c r="N29" s="228"/>
      <c r="O29" s="229"/>
      <c r="P29" s="195" t="s">
        <v>41</v>
      </c>
      <c r="Q29" s="196"/>
      <c r="R29" s="196"/>
      <c r="S29" s="197"/>
      <c r="T29" s="191">
        <f>入力フォーム!D14</f>
        <v>0</v>
      </c>
      <c r="U29" s="192"/>
      <c r="V29" s="192"/>
      <c r="W29" s="53" t="s">
        <v>35</v>
      </c>
      <c r="X29" s="191">
        <f>入力フォーム!E14</f>
        <v>0</v>
      </c>
      <c r="Y29" s="192"/>
      <c r="Z29" s="192"/>
      <c r="AA29" s="53" t="s">
        <v>35</v>
      </c>
    </row>
    <row r="30" spans="1:27" ht="17.45" customHeight="1" x14ac:dyDescent="0.15">
      <c r="A30" s="211" t="s">
        <v>178</v>
      </c>
      <c r="B30" s="212"/>
      <c r="C30" s="212"/>
      <c r="D30" s="212"/>
      <c r="E30" s="213"/>
      <c r="F30" s="202">
        <f>入力フォーム!F21</f>
        <v>0</v>
      </c>
      <c r="G30" s="203"/>
      <c r="H30" s="203"/>
      <c r="I30" s="203"/>
      <c r="J30" s="203"/>
      <c r="K30" s="203"/>
      <c r="L30" s="203"/>
      <c r="M30" s="208" t="s">
        <v>35</v>
      </c>
      <c r="N30" s="228"/>
      <c r="O30" s="229"/>
      <c r="P30" s="195" t="s">
        <v>42</v>
      </c>
      <c r="Q30" s="196"/>
      <c r="R30" s="196"/>
      <c r="S30" s="197"/>
      <c r="T30" s="191">
        <f>入力フォーム!D15</f>
        <v>0</v>
      </c>
      <c r="U30" s="192"/>
      <c r="V30" s="192"/>
      <c r="W30" s="53" t="s">
        <v>35</v>
      </c>
      <c r="X30" s="191">
        <f>入力フォーム!E15</f>
        <v>0</v>
      </c>
      <c r="Y30" s="192"/>
      <c r="Z30" s="192"/>
      <c r="AA30" s="53" t="s">
        <v>35</v>
      </c>
    </row>
    <row r="31" spans="1:27" ht="17.45" customHeight="1" x14ac:dyDescent="0.15">
      <c r="A31" s="214"/>
      <c r="B31" s="215"/>
      <c r="C31" s="215"/>
      <c r="D31" s="215"/>
      <c r="E31" s="216"/>
      <c r="F31" s="204"/>
      <c r="G31" s="205"/>
      <c r="H31" s="205"/>
      <c r="I31" s="205"/>
      <c r="J31" s="205"/>
      <c r="K31" s="205"/>
      <c r="L31" s="205"/>
      <c r="M31" s="209"/>
      <c r="N31" s="228"/>
      <c r="O31" s="229"/>
      <c r="P31" s="195" t="s">
        <v>43</v>
      </c>
      <c r="Q31" s="196"/>
      <c r="R31" s="196"/>
      <c r="S31" s="197"/>
      <c r="T31" s="191">
        <f>入力フォーム!D16</f>
        <v>0</v>
      </c>
      <c r="U31" s="192"/>
      <c r="V31" s="192"/>
      <c r="W31" s="53" t="s">
        <v>35</v>
      </c>
      <c r="X31" s="191">
        <f>入力フォーム!E16</f>
        <v>0</v>
      </c>
      <c r="Y31" s="192"/>
      <c r="Z31" s="192"/>
      <c r="AA31" s="53" t="s">
        <v>35</v>
      </c>
    </row>
    <row r="32" spans="1:27" ht="17.45" customHeight="1" x14ac:dyDescent="0.15">
      <c r="A32" s="217"/>
      <c r="B32" s="218"/>
      <c r="C32" s="218"/>
      <c r="D32" s="218"/>
      <c r="E32" s="219"/>
      <c r="F32" s="206"/>
      <c r="G32" s="207"/>
      <c r="H32" s="207"/>
      <c r="I32" s="207"/>
      <c r="J32" s="207"/>
      <c r="K32" s="207"/>
      <c r="L32" s="207"/>
      <c r="M32" s="210"/>
      <c r="N32" s="228"/>
      <c r="O32" s="229"/>
      <c r="P32" s="195" t="s">
        <v>44</v>
      </c>
      <c r="Q32" s="196"/>
      <c r="R32" s="196"/>
      <c r="S32" s="197"/>
      <c r="T32" s="191">
        <f>入力フォーム!D17</f>
        <v>0</v>
      </c>
      <c r="U32" s="192"/>
      <c r="V32" s="192"/>
      <c r="W32" s="53" t="s">
        <v>35</v>
      </c>
      <c r="X32" s="191">
        <f>入力フォーム!E17</f>
        <v>0</v>
      </c>
      <c r="Y32" s="192"/>
      <c r="Z32" s="192"/>
      <c r="AA32" s="53" t="s">
        <v>35</v>
      </c>
    </row>
    <row r="33" spans="1:27" ht="17.45" customHeight="1" x14ac:dyDescent="0.15">
      <c r="A33" s="211" t="s">
        <v>101</v>
      </c>
      <c r="B33" s="212"/>
      <c r="C33" s="212"/>
      <c r="D33" s="212"/>
      <c r="E33" s="213"/>
      <c r="F33" s="202">
        <f>入力フォーム!D7</f>
        <v>0</v>
      </c>
      <c r="G33" s="203"/>
      <c r="H33" s="203"/>
      <c r="I33" s="203"/>
      <c r="J33" s="203"/>
      <c r="K33" s="203"/>
      <c r="L33" s="203"/>
      <c r="M33" s="208" t="s">
        <v>35</v>
      </c>
      <c r="N33" s="228"/>
      <c r="O33" s="229"/>
      <c r="P33" s="195" t="s">
        <v>45</v>
      </c>
      <c r="Q33" s="196"/>
      <c r="R33" s="196"/>
      <c r="S33" s="197"/>
      <c r="T33" s="191">
        <f>入力フォーム!D18</f>
        <v>0</v>
      </c>
      <c r="U33" s="192"/>
      <c r="V33" s="192"/>
      <c r="W33" s="53" t="s">
        <v>35</v>
      </c>
      <c r="X33" s="191">
        <f>入力フォーム!E18</f>
        <v>0</v>
      </c>
      <c r="Y33" s="192"/>
      <c r="Z33" s="192"/>
      <c r="AA33" s="53" t="s">
        <v>35</v>
      </c>
    </row>
    <row r="34" spans="1:27" ht="13.15" customHeight="1" x14ac:dyDescent="0.15">
      <c r="A34" s="214"/>
      <c r="B34" s="215"/>
      <c r="C34" s="215"/>
      <c r="D34" s="215"/>
      <c r="E34" s="216"/>
      <c r="F34" s="204"/>
      <c r="G34" s="205"/>
      <c r="H34" s="205"/>
      <c r="I34" s="205"/>
      <c r="J34" s="205"/>
      <c r="K34" s="205"/>
      <c r="L34" s="205"/>
      <c r="M34" s="209"/>
      <c r="N34" s="228"/>
      <c r="O34" s="229"/>
      <c r="P34" s="185" t="s">
        <v>46</v>
      </c>
      <c r="Q34" s="186"/>
      <c r="R34" s="186"/>
      <c r="S34" s="187"/>
      <c r="T34" s="198">
        <f>入力フォーム!D19</f>
        <v>0</v>
      </c>
      <c r="U34" s="199"/>
      <c r="V34" s="199"/>
      <c r="W34" s="193" t="s">
        <v>35</v>
      </c>
      <c r="X34" s="198">
        <f>入力フォーム!E19</f>
        <v>0</v>
      </c>
      <c r="Y34" s="199"/>
      <c r="Z34" s="199"/>
      <c r="AA34" s="193" t="s">
        <v>35</v>
      </c>
    </row>
    <row r="35" spans="1:27" ht="13.15" customHeight="1" x14ac:dyDescent="0.15">
      <c r="A35" s="217"/>
      <c r="B35" s="218"/>
      <c r="C35" s="218"/>
      <c r="D35" s="218"/>
      <c r="E35" s="219"/>
      <c r="F35" s="206"/>
      <c r="G35" s="207"/>
      <c r="H35" s="207"/>
      <c r="I35" s="207"/>
      <c r="J35" s="207"/>
      <c r="K35" s="207"/>
      <c r="L35" s="207"/>
      <c r="M35" s="210"/>
      <c r="N35" s="230"/>
      <c r="O35" s="231"/>
      <c r="P35" s="188"/>
      <c r="Q35" s="189"/>
      <c r="R35" s="189"/>
      <c r="S35" s="190"/>
      <c r="T35" s="200"/>
      <c r="U35" s="201"/>
      <c r="V35" s="201"/>
      <c r="W35" s="194"/>
      <c r="X35" s="200"/>
      <c r="Y35" s="201"/>
      <c r="Z35" s="201"/>
      <c r="AA35" s="194"/>
    </row>
    <row r="37" spans="1:27" x14ac:dyDescent="0.15">
      <c r="A37" s="25" t="s">
        <v>91</v>
      </c>
    </row>
    <row r="38" spans="1:27" x14ac:dyDescent="0.15">
      <c r="A38" s="25" t="s">
        <v>47</v>
      </c>
    </row>
    <row r="39" spans="1:27" x14ac:dyDescent="0.15">
      <c r="A39" s="25" t="s">
        <v>92</v>
      </c>
    </row>
    <row r="40" spans="1:27" x14ac:dyDescent="0.15">
      <c r="S40" t="s">
        <v>191</v>
      </c>
    </row>
    <row r="41" spans="1:27" x14ac:dyDescent="0.15">
      <c r="A41" t="s">
        <v>48</v>
      </c>
    </row>
    <row r="42" spans="1:27" ht="24.6" customHeight="1" x14ac:dyDescent="0.15">
      <c r="A42" t="s">
        <v>157</v>
      </c>
      <c r="E42" s="26"/>
      <c r="F42" s="26"/>
      <c r="G42" s="26"/>
      <c r="H42" s="26"/>
      <c r="I42" s="26"/>
      <c r="J42" s="26"/>
      <c r="K42" s="26"/>
      <c r="L42" s="26"/>
      <c r="M42" s="26"/>
      <c r="N42" s="26"/>
      <c r="O42" s="26"/>
      <c r="P42" s="26"/>
      <c r="Q42" s="26"/>
      <c r="R42" s="26"/>
      <c r="S42" s="26"/>
      <c r="T42" s="26"/>
      <c r="U42" s="26"/>
      <c r="V42" s="26"/>
      <c r="W42" s="26"/>
      <c r="X42" s="26"/>
      <c r="Y42" s="26"/>
      <c r="Z42" s="26"/>
      <c r="AA42" s="25"/>
    </row>
    <row r="43" spans="1:27" ht="24.6" customHeight="1" x14ac:dyDescent="0.15">
      <c r="A43" t="s">
        <v>49</v>
      </c>
      <c r="E43" s="27"/>
      <c r="F43" s="27"/>
      <c r="G43" s="27"/>
      <c r="H43" s="27"/>
      <c r="I43" s="27"/>
      <c r="J43" s="27"/>
      <c r="K43" s="27"/>
      <c r="L43" s="27"/>
      <c r="M43" s="27"/>
      <c r="N43" s="27"/>
      <c r="O43" s="27"/>
      <c r="P43" s="27"/>
      <c r="Q43" s="27"/>
      <c r="R43" s="27"/>
      <c r="S43" s="27"/>
      <c r="T43" s="27"/>
      <c r="U43" s="27"/>
      <c r="V43" s="27"/>
      <c r="W43" s="27"/>
      <c r="X43" s="27"/>
      <c r="Y43" s="27"/>
      <c r="Z43" s="27"/>
    </row>
    <row r="44" spans="1:27" ht="24.6" customHeight="1" x14ac:dyDescent="0.15">
      <c r="A44" t="s">
        <v>50</v>
      </c>
      <c r="E44" s="27"/>
      <c r="F44" s="27"/>
      <c r="G44" s="27"/>
      <c r="H44" s="27"/>
      <c r="I44" s="27"/>
      <c r="J44" s="27"/>
      <c r="K44" s="27"/>
      <c r="L44" s="27"/>
      <c r="M44" s="27"/>
      <c r="N44" s="27"/>
    </row>
    <row r="45" spans="1:27" ht="24.6" customHeight="1" x14ac:dyDescent="0.15">
      <c r="A45" t="s">
        <v>194</v>
      </c>
      <c r="E45" s="27"/>
      <c r="F45" s="27"/>
      <c r="G45" s="27"/>
      <c r="H45" s="27"/>
      <c r="I45" s="27"/>
      <c r="J45" s="27"/>
      <c r="K45" s="27"/>
      <c r="L45" s="27"/>
      <c r="M45" s="27"/>
      <c r="N45" s="27"/>
    </row>
  </sheetData>
  <sheetProtection algorithmName="SHA-512" hashValue="DYk8hPe+Se2IS4WKRBlN7TXBYdIKNPFzHOobUvE+vV3qLwybykRL+5R7Gak8S+V3wHeejfo6MCLygB/cX5r7TA==" saltValue="jvW+3C54tqkX7VZ7sHV6JQ==" spinCount="100000" sheet="1" selectLockedCells="1" selectUnlockedCells="1"/>
  <mergeCells count="90">
    <mergeCell ref="W34:W35"/>
    <mergeCell ref="T32:V32"/>
    <mergeCell ref="T25:V25"/>
    <mergeCell ref="X25:Z25"/>
    <mergeCell ref="X26:Z26"/>
    <mergeCell ref="X27:Z27"/>
    <mergeCell ref="T28:V28"/>
    <mergeCell ref="T27:V27"/>
    <mergeCell ref="T26:V26"/>
    <mergeCell ref="R15:T15"/>
    <mergeCell ref="U15:AA15"/>
    <mergeCell ref="J14:Q14"/>
    <mergeCell ref="P12:P13"/>
    <mergeCell ref="Q12:Q13"/>
    <mergeCell ref="R12:R13"/>
    <mergeCell ref="J15:Q15"/>
    <mergeCell ref="K12:K13"/>
    <mergeCell ref="L12:L13"/>
    <mergeCell ref="M12:M13"/>
    <mergeCell ref="N12:N13"/>
    <mergeCell ref="O12:O13"/>
    <mergeCell ref="R14:AA14"/>
    <mergeCell ref="M10:R10"/>
    <mergeCell ref="A10:J10"/>
    <mergeCell ref="K10:L10"/>
    <mergeCell ref="E7:E8"/>
    <mergeCell ref="H7:L8"/>
    <mergeCell ref="M7:R7"/>
    <mergeCell ref="U1:W1"/>
    <mergeCell ref="U2:W3"/>
    <mergeCell ref="X1:AA1"/>
    <mergeCell ref="X2:AA3"/>
    <mergeCell ref="A4:AA4"/>
    <mergeCell ref="A5:B5"/>
    <mergeCell ref="C5:E5"/>
    <mergeCell ref="A18:C19"/>
    <mergeCell ref="D18:F19"/>
    <mergeCell ref="G18:I19"/>
    <mergeCell ref="G15:I15"/>
    <mergeCell ref="A16:C17"/>
    <mergeCell ref="D16:F17"/>
    <mergeCell ref="G16:I17"/>
    <mergeCell ref="A14:C15"/>
    <mergeCell ref="D14:I14"/>
    <mergeCell ref="D15:F15"/>
    <mergeCell ref="A7:A8"/>
    <mergeCell ref="B7:B8"/>
    <mergeCell ref="C7:C8"/>
    <mergeCell ref="D7:D8"/>
    <mergeCell ref="R20:X20"/>
    <mergeCell ref="Y20:AA20"/>
    <mergeCell ref="A24:E26"/>
    <mergeCell ref="N24:O35"/>
    <mergeCell ref="P24:S24"/>
    <mergeCell ref="P32:S32"/>
    <mergeCell ref="P33:S33"/>
    <mergeCell ref="T24:W24"/>
    <mergeCell ref="X24:AA24"/>
    <mergeCell ref="P25:S25"/>
    <mergeCell ref="P26:S26"/>
    <mergeCell ref="A27:E29"/>
    <mergeCell ref="P27:S27"/>
    <mergeCell ref="P28:S28"/>
    <mergeCell ref="P29:S29"/>
    <mergeCell ref="M24:M26"/>
    <mergeCell ref="F27:L29"/>
    <mergeCell ref="F24:L26"/>
    <mergeCell ref="M27:M29"/>
    <mergeCell ref="A30:E32"/>
    <mergeCell ref="A33:E35"/>
    <mergeCell ref="M33:M35"/>
    <mergeCell ref="M30:M32"/>
    <mergeCell ref="F33:L35"/>
    <mergeCell ref="F30:L32"/>
    <mergeCell ref="P34:S35"/>
    <mergeCell ref="T33:V33"/>
    <mergeCell ref="AA34:AA35"/>
    <mergeCell ref="X28:Z28"/>
    <mergeCell ref="X29:Z29"/>
    <mergeCell ref="P30:S30"/>
    <mergeCell ref="P31:S31"/>
    <mergeCell ref="X30:Z30"/>
    <mergeCell ref="X31:Z31"/>
    <mergeCell ref="T31:V31"/>
    <mergeCell ref="T30:V30"/>
    <mergeCell ref="T29:V29"/>
    <mergeCell ref="X32:Z32"/>
    <mergeCell ref="X33:Z33"/>
    <mergeCell ref="T34:V35"/>
    <mergeCell ref="X34:Z35"/>
  </mergeCells>
  <phoneticPr fontId="2"/>
  <printOptions horizontalCentered="1"/>
  <pageMargins left="0.51181102362204722" right="0.39370078740157483" top="0.59055118110236227" bottom="0.6" header="0.23622047244094491" footer="0.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53"/>
  <sheetViews>
    <sheetView topLeftCell="A36" workbookViewId="0">
      <selection activeCell="B51" sqref="B51"/>
    </sheetView>
  </sheetViews>
  <sheetFormatPr defaultRowHeight="13.5" x14ac:dyDescent="0.15"/>
  <cols>
    <col min="1" max="1" width="34" customWidth="1"/>
    <col min="2" max="2" width="10.875" bestFit="1" customWidth="1"/>
    <col min="3" max="3" width="22.75" style="1" bestFit="1" customWidth="1"/>
    <col min="4" max="5" width="11.75" customWidth="1"/>
    <col min="7" max="7" width="12.25" bestFit="1" customWidth="1"/>
    <col min="8" max="8" width="9" bestFit="1" customWidth="1"/>
    <col min="9" max="9" width="12.25" bestFit="1" customWidth="1"/>
  </cols>
  <sheetData>
    <row r="1" spans="1:6" ht="19.149999999999999" customHeight="1" x14ac:dyDescent="0.15">
      <c r="A1" s="161" t="s">
        <v>6</v>
      </c>
      <c r="B1" s="109" t="e">
        <f>VALUE(入力フォーム!F5)</f>
        <v>#VALUE!</v>
      </c>
      <c r="C1" s="100" t="s">
        <v>158</v>
      </c>
    </row>
    <row r="2" spans="1:6" ht="19.149999999999999" customHeight="1" x14ac:dyDescent="0.15">
      <c r="A2" s="161" t="s">
        <v>55</v>
      </c>
      <c r="B2" s="109" t="e">
        <f>VALUE(入力フォーム!F3)</f>
        <v>#VALUE!</v>
      </c>
      <c r="C2" s="100" t="s">
        <v>159</v>
      </c>
    </row>
    <row r="3" spans="1:6" ht="19.149999999999999" customHeight="1" x14ac:dyDescent="0.15">
      <c r="A3" s="161" t="s">
        <v>68</v>
      </c>
      <c r="B3" s="119" t="e">
        <f>IF(OR(B2=11,B2=31,B2=41,B2=61,B2=71,B2=72),1,IF(OR(B2=21,B2=51),2,IF(OR(B2=81),3,"貸付種別を入力してください")))</f>
        <v>#VALUE!</v>
      </c>
      <c r="C3" s="100" t="s">
        <v>160</v>
      </c>
    </row>
    <row r="4" spans="1:6" ht="18.600000000000001" customHeight="1" x14ac:dyDescent="0.15">
      <c r="A4" s="161" t="s">
        <v>179</v>
      </c>
      <c r="B4" s="110">
        <f>入力フォーム!D26</f>
        <v>0</v>
      </c>
      <c r="C4" s="100" t="s">
        <v>161</v>
      </c>
    </row>
    <row r="5" spans="1:6" ht="18.600000000000001" customHeight="1" x14ac:dyDescent="0.15">
      <c r="A5" s="161" t="s">
        <v>180</v>
      </c>
      <c r="B5" s="44">
        <f>入力フォーム!D27</f>
        <v>0</v>
      </c>
      <c r="C5" s="100" t="s">
        <v>162</v>
      </c>
    </row>
    <row r="6" spans="1:6" ht="18.600000000000001" customHeight="1" x14ac:dyDescent="0.15">
      <c r="A6" s="161" t="s">
        <v>181</v>
      </c>
      <c r="B6" s="110">
        <f>入力フォーム!D28</f>
        <v>0</v>
      </c>
      <c r="C6" s="120" t="str">
        <f>IF(ISERROR(B4/B6&lt;6),"",IF(B4/B6&lt;6,"ボーナス償還は毎月償還の６分の１以内です！",""))</f>
        <v/>
      </c>
      <c r="D6" s="99" t="s">
        <v>163</v>
      </c>
    </row>
    <row r="7" spans="1:6" ht="18.600000000000001" customHeight="1" x14ac:dyDescent="0.15">
      <c r="A7" s="161" t="s">
        <v>182</v>
      </c>
      <c r="B7" s="44">
        <f>入力フォーム!D29</f>
        <v>0</v>
      </c>
      <c r="C7" s="100" t="s">
        <v>165</v>
      </c>
    </row>
    <row r="8" spans="1:6" ht="18.600000000000001" customHeight="1" x14ac:dyDescent="0.15">
      <c r="A8" s="161" t="s">
        <v>2</v>
      </c>
      <c r="B8" s="121">
        <f>IF(OR(B7=0,B7=""),0,1)</f>
        <v>0</v>
      </c>
      <c r="C8" s="100" t="s">
        <v>166</v>
      </c>
    </row>
    <row r="9" spans="1:6" ht="18.600000000000001" customHeight="1" x14ac:dyDescent="0.15">
      <c r="A9" s="161" t="s">
        <v>120</v>
      </c>
      <c r="B9" s="44">
        <f>入力フォーム!D6</f>
        <v>0</v>
      </c>
      <c r="C9" s="100" t="s">
        <v>167</v>
      </c>
    </row>
    <row r="10" spans="1:6" ht="18.600000000000001" customHeight="1" x14ac:dyDescent="0.15">
      <c r="A10" s="162" t="s">
        <v>121</v>
      </c>
      <c r="B10" s="121">
        <f>TRUNC(B9*3/10)</f>
        <v>0</v>
      </c>
      <c r="C10" s="100" t="s">
        <v>168</v>
      </c>
    </row>
    <row r="11" spans="1:6" ht="18.600000000000001" customHeight="1" x14ac:dyDescent="0.15">
      <c r="A11" s="161" t="s">
        <v>122</v>
      </c>
      <c r="B11" s="121">
        <f>TRUNC(B9*6/10)</f>
        <v>0</v>
      </c>
      <c r="C11" s="100" t="s">
        <v>169</v>
      </c>
    </row>
    <row r="12" spans="1:6" ht="18.600000000000001" customHeight="1" thickBot="1" x14ac:dyDescent="0.2">
      <c r="A12" s="161" t="s">
        <v>123</v>
      </c>
      <c r="B12" s="111">
        <f>入力フォーム!D7</f>
        <v>0</v>
      </c>
      <c r="C12" s="100" t="s">
        <v>170</v>
      </c>
    </row>
    <row r="13" spans="1:6" ht="28.9" customHeight="1" x14ac:dyDescent="0.15">
      <c r="A13" s="163" t="s">
        <v>58</v>
      </c>
      <c r="B13" s="103" t="s">
        <v>82</v>
      </c>
      <c r="C13" s="104" t="s">
        <v>83</v>
      </c>
      <c r="D13" s="113" t="s">
        <v>84</v>
      </c>
      <c r="E13" s="114" t="s">
        <v>85</v>
      </c>
      <c r="F13" s="99" t="s">
        <v>126</v>
      </c>
    </row>
    <row r="14" spans="1:6" ht="18.600000000000001" customHeight="1" x14ac:dyDescent="0.15">
      <c r="A14" s="164" t="s">
        <v>71</v>
      </c>
      <c r="B14" s="105">
        <f>入力フォーム!D10</f>
        <v>0</v>
      </c>
      <c r="C14" s="106">
        <f>入力フォーム!E10</f>
        <v>0</v>
      </c>
      <c r="D14" s="115" t="e">
        <f>IF(AND($B$2=11,$B$8=1,200000&lt;=$B$31,$B$29=0),$B14,IF(AND($B$2=11,$B$8=1,0&lt;$B$29),0,IF(AND($B$2=11,$B$8=0),0,$B14)))</f>
        <v>#VALUE!</v>
      </c>
      <c r="E14" s="116" t="e">
        <f>IF(AND(B$2=11,B$8=1),0,$C14)</f>
        <v>#VALUE!</v>
      </c>
      <c r="F14" s="99" t="s">
        <v>151</v>
      </c>
    </row>
    <row r="15" spans="1:6" ht="18.600000000000001" customHeight="1" x14ac:dyDescent="0.15">
      <c r="A15" s="164" t="s">
        <v>72</v>
      </c>
      <c r="B15" s="105">
        <f>入力フォーム!D11</f>
        <v>0</v>
      </c>
      <c r="C15" s="106">
        <f>入力フォーム!E11</f>
        <v>0</v>
      </c>
      <c r="D15" s="115" t="e">
        <f>IF(AND($B$2=21,$B$8=1,200000&lt;=$B$31,$B$29=0),$B15,IF(AND($B$2=21,$B$8=1,0&lt;$B$29),0,IF(AND($B$2=21,$B$8=0),0,$B15)))</f>
        <v>#VALUE!</v>
      </c>
      <c r="E15" s="116" t="e">
        <f>IF(AND(B$2=21,B$8=1),0,$C15)</f>
        <v>#VALUE!</v>
      </c>
      <c r="F15" s="99" t="s">
        <v>171</v>
      </c>
    </row>
    <row r="16" spans="1:6" ht="18.600000000000001" customHeight="1" x14ac:dyDescent="0.15">
      <c r="A16" s="164" t="s">
        <v>73</v>
      </c>
      <c r="B16" s="105">
        <f>入力フォーム!D12</f>
        <v>0</v>
      </c>
      <c r="C16" s="106">
        <f>入力フォーム!E12</f>
        <v>0</v>
      </c>
      <c r="D16" s="115" t="e">
        <f>IF(AND($B$2=31,$B$8=1,200000&lt;=$B$31,$B$29=0),$B16,IF(AND($B$2=31,$B$8=1,0&lt;$B$29),0,IF(AND($B$2=31,$B$8=0),0,$B16)))</f>
        <v>#VALUE!</v>
      </c>
      <c r="E16" s="116" t="e">
        <f>IF(AND(B$2=31,B$8=1),0,$C16)</f>
        <v>#VALUE!</v>
      </c>
    </row>
    <row r="17" spans="1:11" ht="18.600000000000001" customHeight="1" x14ac:dyDescent="0.15">
      <c r="A17" s="164" t="s">
        <v>74</v>
      </c>
      <c r="B17" s="105">
        <f>入力フォーム!D13</f>
        <v>0</v>
      </c>
      <c r="C17" s="106">
        <f>入力フォーム!E13</f>
        <v>0</v>
      </c>
      <c r="D17" s="115" t="e">
        <f>IF(AND($B$2=81,$B$8=1,200000&lt;=$B$31,$B$29=0),$B17,IF(AND($B$2=81,$B$8=1,0&lt;$B$29),0,IF(AND($B$2=81,$B$8=0),0,$B17)))</f>
        <v>#VALUE!</v>
      </c>
      <c r="E17" s="116" t="e">
        <f>IF(AND(B$2=81,B$8=1),0,$C17)</f>
        <v>#VALUE!</v>
      </c>
    </row>
    <row r="18" spans="1:11" ht="18.600000000000001" customHeight="1" x14ac:dyDescent="0.15">
      <c r="A18" s="164" t="s">
        <v>75</v>
      </c>
      <c r="B18" s="105">
        <f>入力フォーム!D14</f>
        <v>0</v>
      </c>
      <c r="C18" s="106">
        <f>入力フォーム!E14</f>
        <v>0</v>
      </c>
      <c r="D18" s="115" t="e">
        <f>IF(AND($B$2=41,$B$8=1,200000&lt;=$B$31,$B$29=0),$B18,IF(AND($B$2=41,$B$8=1,0&lt;$B$29),0,IF(AND($B$2=41,$B$8=0),0,$B18)))</f>
        <v>#VALUE!</v>
      </c>
      <c r="E18" s="116" t="e">
        <f>IF(AND(B$2=41,B$8=1),0,$C18)</f>
        <v>#VALUE!</v>
      </c>
    </row>
    <row r="19" spans="1:11" ht="18.600000000000001" customHeight="1" x14ac:dyDescent="0.15">
      <c r="A19" s="164" t="s">
        <v>76</v>
      </c>
      <c r="B19" s="105">
        <f>入力フォーム!D15</f>
        <v>0</v>
      </c>
      <c r="C19" s="106">
        <f>入力フォーム!E15</f>
        <v>0</v>
      </c>
      <c r="D19" s="115" t="e">
        <f>IF(AND($B$2=51,$B$8=1,200000&lt;=$B$31,$B$29=0),$B19,IF(AND($B$2=51,$B$8=1,0&lt;$B$29),0,IF(AND($B$2=51,$B$8=0),0,$B19)))</f>
        <v>#VALUE!</v>
      </c>
      <c r="E19" s="116" t="e">
        <f>IF(AND(B$2=51,B$8=1),0,$C19)</f>
        <v>#VALUE!</v>
      </c>
    </row>
    <row r="20" spans="1:11" ht="18.600000000000001" customHeight="1" x14ac:dyDescent="0.15">
      <c r="A20" s="164" t="s">
        <v>77</v>
      </c>
      <c r="B20" s="105">
        <f>入力フォーム!D16</f>
        <v>0</v>
      </c>
      <c r="C20" s="106">
        <f>入力フォーム!E16</f>
        <v>0</v>
      </c>
      <c r="D20" s="115" t="e">
        <f>IF(AND($B$2=61,$B$8=1,200000&lt;=$B$31,$B$29=0),$B20,IF(AND($B$2=61,$B$8=1,0&lt;$B$29),0,IF(AND($B$2=61,$B$8=0),0,$B20)))</f>
        <v>#VALUE!</v>
      </c>
      <c r="E20" s="116" t="e">
        <f>IF(AND(B$2=61,B$8=1),0,$C20)</f>
        <v>#VALUE!</v>
      </c>
    </row>
    <row r="21" spans="1:11" ht="18.600000000000001" customHeight="1" x14ac:dyDescent="0.15">
      <c r="A21" s="164" t="s">
        <v>78</v>
      </c>
      <c r="B21" s="105">
        <f>入力フォーム!D17</f>
        <v>0</v>
      </c>
      <c r="C21" s="106">
        <f>入力フォーム!E17</f>
        <v>0</v>
      </c>
      <c r="D21" s="115" t="e">
        <f>IF(AND($B$2=71,$B$8=1,200000&lt;=$B$31,$B$29=0),$B21,IF(AND($B$2=71,$B$8=1,0&lt;$B$29),0,IF(AND($B$2=71,$B$8=0),0,$B21)))</f>
        <v>#VALUE!</v>
      </c>
      <c r="E21" s="116" t="e">
        <f>IF(AND(B$2=71,B$8=1),0,$C21)</f>
        <v>#VALUE!</v>
      </c>
    </row>
    <row r="22" spans="1:11" ht="18.600000000000001" customHeight="1" x14ac:dyDescent="0.15">
      <c r="A22" s="164" t="s">
        <v>79</v>
      </c>
      <c r="B22" s="105">
        <f>入力フォーム!D18</f>
        <v>0</v>
      </c>
      <c r="C22" s="106">
        <f>入力フォーム!E18</f>
        <v>0</v>
      </c>
      <c r="D22" s="115" t="e">
        <f>IF(AND($B$2=72,$B$8=1,200000&lt;=$B$31,$B$29=0),$B22,IF(AND($B$2=72,$B$8=1,0&lt;$B$29),0,IF(AND($B$2=72,$B$8=0),0,$B22)))</f>
        <v>#VALUE!</v>
      </c>
      <c r="E22" s="116" t="e">
        <f>IF(AND(B$2=72,B$8=1),0,$C22)</f>
        <v>#VALUE!</v>
      </c>
    </row>
    <row r="23" spans="1:11" ht="18.600000000000001" customHeight="1" thickBot="1" x14ac:dyDescent="0.2">
      <c r="A23" s="164" t="s">
        <v>46</v>
      </c>
      <c r="B23" s="107">
        <f>SUM(B14:B22)</f>
        <v>0</v>
      </c>
      <c r="C23" s="108">
        <f>SUM(C14:C22)</f>
        <v>0</v>
      </c>
      <c r="D23" s="117" t="e">
        <f>SUM(D14:D22)</f>
        <v>#VALUE!</v>
      </c>
      <c r="E23" s="118" t="e">
        <f>SUM(E14:E22)</f>
        <v>#VALUE!</v>
      </c>
    </row>
    <row r="24" spans="1:11" ht="18.600000000000001" customHeight="1" x14ac:dyDescent="0.15">
      <c r="A24" s="161"/>
      <c r="B24" s="1"/>
      <c r="D24" s="149"/>
      <c r="E24" s="149"/>
    </row>
    <row r="25" spans="1:11" ht="18.600000000000001" customHeight="1" x14ac:dyDescent="0.15">
      <c r="A25" s="161" t="s">
        <v>69</v>
      </c>
      <c r="B25" s="124" t="e">
        <f>IF(AND(B1=0,B3=1),E38,IF(AND(B1=0,B3=2),E39,IF(AND(B1=0,B3=3),E40,IF(AND(B1=1,B3=1),E41,IF(AND(B1=1,B3=2),E42,IF(AND(B1=1,B3=3),E43,""))))))</f>
        <v>#VALUE!</v>
      </c>
      <c r="C25" s="127" t="e">
        <f>+B25*12</f>
        <v>#VALUE!</v>
      </c>
      <c r="D25" s="99" t="s">
        <v>172</v>
      </c>
    </row>
    <row r="26" spans="1:11" ht="18.600000000000001" customHeight="1" x14ac:dyDescent="0.15">
      <c r="A26" s="161" t="s">
        <v>179</v>
      </c>
      <c r="B26" s="125">
        <f>B4</f>
        <v>0</v>
      </c>
      <c r="C26" s="101" t="s">
        <v>183</v>
      </c>
    </row>
    <row r="27" spans="1:11" ht="18.600000000000001" customHeight="1" x14ac:dyDescent="0.15">
      <c r="A27" s="161" t="s">
        <v>180</v>
      </c>
      <c r="B27" s="126">
        <f>B5</f>
        <v>0</v>
      </c>
      <c r="C27" s="101" t="s">
        <v>184</v>
      </c>
      <c r="E27" t="s">
        <v>174</v>
      </c>
    </row>
    <row r="28" spans="1:11" ht="18.600000000000001" customHeight="1" x14ac:dyDescent="0.15">
      <c r="A28" s="161" t="s">
        <v>182</v>
      </c>
      <c r="B28" s="126">
        <f>B7</f>
        <v>0</v>
      </c>
      <c r="C28" s="101" t="s">
        <v>185</v>
      </c>
    </row>
    <row r="29" spans="1:11" ht="18.600000000000001" customHeight="1" x14ac:dyDescent="0.15">
      <c r="A29" s="161" t="s">
        <v>0</v>
      </c>
      <c r="B29" s="44">
        <f>入力フォーム!D32</f>
        <v>0</v>
      </c>
    </row>
    <row r="30" spans="1:11" ht="18.600000000000001" customHeight="1" x14ac:dyDescent="0.15">
      <c r="A30" s="161" t="s">
        <v>7</v>
      </c>
      <c r="B30" s="44">
        <f>入力フォーム!D31</f>
        <v>0</v>
      </c>
      <c r="C30" s="277" t="s">
        <v>173</v>
      </c>
      <c r="D30" s="277"/>
      <c r="E30" s="277"/>
      <c r="F30" s="277"/>
      <c r="G30" s="277"/>
      <c r="H30" s="277"/>
      <c r="I30" s="277"/>
      <c r="J30" s="277"/>
      <c r="K30" s="277"/>
    </row>
    <row r="31" spans="1:11" ht="18.600000000000001" customHeight="1" x14ac:dyDescent="0.15">
      <c r="A31" s="161" t="s">
        <v>1</v>
      </c>
      <c r="B31" s="44">
        <f>入力フォーム!D34</f>
        <v>0</v>
      </c>
      <c r="C31" s="277"/>
      <c r="D31" s="277"/>
      <c r="E31" s="277"/>
      <c r="F31" s="277"/>
      <c r="G31" s="277"/>
      <c r="H31" s="277"/>
      <c r="I31" s="277"/>
      <c r="J31" s="277"/>
      <c r="K31" s="277"/>
    </row>
    <row r="32" spans="1:11" ht="18.600000000000001" customHeight="1" x14ac:dyDescent="0.15">
      <c r="A32" s="161" t="s">
        <v>8</v>
      </c>
      <c r="B32" s="44">
        <f>入力フォーム!D33</f>
        <v>0</v>
      </c>
      <c r="C32" s="43"/>
      <c r="D32" s="3"/>
    </row>
    <row r="33" spans="1:11" ht="18.600000000000001" customHeight="1" x14ac:dyDescent="0.15">
      <c r="A33" s="161" t="s">
        <v>127</v>
      </c>
      <c r="B33" s="126" t="str">
        <f>IF(AND(B29=0,B30=0),"",IF(B27-B29&lt;=0,"未償還元金以内にしてください！",IF(AND(B8=0,B29&lt;100000),"１０万円以上にしてください！",IF(B8=0,"",IF((B29+B31)&lt;200000,"一部繰上償還額の合計を20万円以上にしてください！",IF(B28-B31=0,"",IF((B29+B31)/2&lt;B29,"一部繰上償還額の合計の１／２以上をﾎﾞｰﾅｽ償還に充ててください！","")))))))</f>
        <v/>
      </c>
      <c r="C33" s="102" t="s">
        <v>130</v>
      </c>
      <c r="D33" s="3"/>
    </row>
    <row r="34" spans="1:11" ht="18.600000000000001" customHeight="1" x14ac:dyDescent="0.15">
      <c r="A34" s="161" t="s">
        <v>128</v>
      </c>
      <c r="B34" s="126" t="str">
        <f>IF(AND(B29=0,B30=0),"",IF(B26&lt;B30,"償還回数は増やせません！",IF(AND(0&lt;B29,B30=0),"償還回数を入力してください！",IF(AND(B29=0,0&lt;B30),"一部繰上償還額(毎月)を入力してください！",""))))</f>
        <v/>
      </c>
      <c r="C34" s="102" t="s">
        <v>129</v>
      </c>
      <c r="D34" s="3"/>
    </row>
    <row r="35" spans="1:11" ht="18.600000000000001" customHeight="1" x14ac:dyDescent="0.15">
      <c r="A35" s="165" t="s">
        <v>132</v>
      </c>
      <c r="B35" s="126" t="str">
        <f>IF(AND(B8=0,0&lt;B31),"ボーナスを併用されていません！",IF(B8=0,"",IF(B28-B31&lt;0,"未償還元金以内にしてください！",IF(B29+B31&lt;200000,"一部繰上償還額の合計を20万円以上にしてください！",IF(B28-B31=0,"",IF(B31&lt;(B29+B31)/2,"一部繰上償還額の合計の１／２以上をﾎﾞｰﾅｽ償還に充ててください！",""))))))</f>
        <v/>
      </c>
      <c r="C35" s="102" t="s">
        <v>131</v>
      </c>
      <c r="D35" s="3"/>
    </row>
    <row r="36" spans="1:11" ht="18.600000000000001" customHeight="1" x14ac:dyDescent="0.15">
      <c r="A36" s="161" t="s">
        <v>70</v>
      </c>
      <c r="B36" s="126" t="str">
        <f>IF(AND(B8=0,0&lt;B32),"ボーナスを併用されていません！",IF(AND(B28-B31=0,0&lt;B32),"償還回数は０回です！",IF(AND(0&lt;B28-B31,B32=0),"償還回数を入力してください！",IF(AND(B28-B31=0,B32=0),"",IF(AND(200000&lt;=B29+B31,B30=0),"",IF(B6&lt;B32,"償還回数は増やせません！",IF(AND(200000&lt;=B29+B31,B30/6&lt;B32),"毎月償還回数の６分の１以内にしてください！","")))))))</f>
        <v/>
      </c>
      <c r="C36" s="102" t="s">
        <v>133</v>
      </c>
      <c r="D36" s="3"/>
    </row>
    <row r="37" spans="1:11" ht="18.600000000000001" customHeight="1" thickBot="1" x14ac:dyDescent="0.2">
      <c r="A37" s="161"/>
      <c r="B37" s="43"/>
      <c r="C37" s="43"/>
      <c r="D37" s="149" t="s">
        <v>156</v>
      </c>
      <c r="E37" s="149" t="s">
        <v>155</v>
      </c>
    </row>
    <row r="38" spans="1:11" ht="18.600000000000001" customHeight="1" x14ac:dyDescent="0.15">
      <c r="A38" s="276" t="s">
        <v>9</v>
      </c>
      <c r="B38" s="122">
        <f>IF(B29=0,0,ROUND((B27-B29)*(IF(AND(B1=0,B3=1),VLOOKUP(B30,賦金率表!A5:S364,2,0),0)),0))</f>
        <v>0</v>
      </c>
      <c r="C38" s="112" t="s">
        <v>144</v>
      </c>
      <c r="D38" s="148">
        <f>賦金率表!B2</f>
        <v>1.26E-2</v>
      </c>
      <c r="E38" s="150">
        <f>賦金率表!D2</f>
        <v>1.0499999999999999E-3</v>
      </c>
      <c r="F38" s="99" t="s">
        <v>134</v>
      </c>
    </row>
    <row r="39" spans="1:11" ht="18.600000000000001" customHeight="1" x14ac:dyDescent="0.15">
      <c r="A39" s="276"/>
      <c r="B39" s="128">
        <f>IF(B29=0,0,ROUND((B27-B29)*(IF(AND(B1=0,B3=2),VLOOKUP(B30,賦金率表!A5:S364,8,0),0)),0))</f>
        <v>0</v>
      </c>
      <c r="C39" s="112" t="s">
        <v>145</v>
      </c>
      <c r="D39" s="148">
        <f>賦金率表!H2</f>
        <v>9.2999999999999992E-3</v>
      </c>
      <c r="E39" s="150">
        <f>賦金率表!J2</f>
        <v>7.7499999999999997E-4</v>
      </c>
      <c r="F39" s="99" t="s">
        <v>135</v>
      </c>
    </row>
    <row r="40" spans="1:11" ht="18.600000000000001" customHeight="1" x14ac:dyDescent="0.15">
      <c r="A40" s="276"/>
      <c r="B40" s="128">
        <f>IF(B29=0,0,ROUND((B27-B29)*(IF(AND(B1=0,B3=3),VLOOKUP(B30,賦金率表!A5:S364,14,0),0)),0))</f>
        <v>0</v>
      </c>
      <c r="C40" s="112" t="s">
        <v>146</v>
      </c>
      <c r="D40" s="148">
        <f>賦金率表!N2</f>
        <v>0.01</v>
      </c>
      <c r="E40" s="150">
        <f>賦金率表!P2</f>
        <v>8.3299999999999997E-4</v>
      </c>
      <c r="F40" s="99" t="s">
        <v>136</v>
      </c>
    </row>
    <row r="41" spans="1:11" ht="18.600000000000001" customHeight="1" x14ac:dyDescent="0.15">
      <c r="A41" s="276"/>
      <c r="B41" s="128">
        <f>IF(B29=0,0,ROUND((B27-B29)*(IF(AND(B1=1,B3=1),VLOOKUP(B30,賦金率表!A5:S364,5,0),0)),0))</f>
        <v>0</v>
      </c>
      <c r="C41" s="112" t="s">
        <v>147</v>
      </c>
      <c r="D41" s="148">
        <f>賦金率表!E2</f>
        <v>1.32E-2</v>
      </c>
      <c r="E41" s="150">
        <f>賦金率表!G2</f>
        <v>1.1000000000000001E-3</v>
      </c>
      <c r="F41" s="99" t="s">
        <v>137</v>
      </c>
    </row>
    <row r="42" spans="1:11" ht="18.600000000000001" customHeight="1" x14ac:dyDescent="0.15">
      <c r="A42" s="276"/>
      <c r="B42" s="128">
        <f>IF(B29=0,0,ROUND((B27-B29)*(IF(AND(B1=1,B3=2),VLOOKUP(B30,賦金率表!A5:S364,11,0),0)),0))</f>
        <v>0</v>
      </c>
      <c r="C42" s="112" t="s">
        <v>148</v>
      </c>
      <c r="D42" s="148">
        <f>賦金率表!K2</f>
        <v>9.8999999999999991E-3</v>
      </c>
      <c r="E42" s="150">
        <f>賦金率表!M2</f>
        <v>8.25E-4</v>
      </c>
      <c r="F42" s="99" t="s">
        <v>138</v>
      </c>
    </row>
    <row r="43" spans="1:11" ht="18.600000000000001" customHeight="1" thickBot="1" x14ac:dyDescent="0.2">
      <c r="A43" s="276"/>
      <c r="B43" s="129">
        <f>IF(B29=0,0,ROUND((B27-B29)*(IF(AND(B1=1,B3=3),VLOOKUP(B30,賦金率表!A5:S364,17,0),0)),0))</f>
        <v>0</v>
      </c>
      <c r="C43" s="112" t="s">
        <v>149</v>
      </c>
      <c r="D43" s="148">
        <f>賦金率表!Q2</f>
        <v>1.06E-2</v>
      </c>
      <c r="E43" s="150">
        <f>賦金率表!S2</f>
        <v>8.83E-4</v>
      </c>
      <c r="F43" s="99" t="s">
        <v>139</v>
      </c>
    </row>
    <row r="44" spans="1:11" ht="18.600000000000001" customHeight="1" x14ac:dyDescent="0.15">
      <c r="A44" s="276" t="s">
        <v>164</v>
      </c>
      <c r="B44" s="122">
        <f>IF(B8=0,0,IF(OR(B31=0,B28-B31=0),0,ROUND((B28-B31)*(IF(AND(B1=0,B3=1),VLOOKUP(B32,賦金率表!A5:S64,3,0),0)),0)))</f>
        <v>0</v>
      </c>
      <c r="C44" s="112" t="s">
        <v>150</v>
      </c>
      <c r="D44" s="45"/>
    </row>
    <row r="45" spans="1:11" ht="18.600000000000001" customHeight="1" x14ac:dyDescent="0.15">
      <c r="A45" s="276"/>
      <c r="B45" s="128">
        <f>IF(B8=0,0,IF(OR(B31=0,B28-B31=0),0,ROUND((B28-B31)*(IF(AND(B1=0,B3=2),VLOOKUP(B32,賦金率表!A5:S64,9,0),0)),0)))</f>
        <v>0</v>
      </c>
      <c r="C45" s="112" t="s">
        <v>124</v>
      </c>
      <c r="D45" s="45"/>
    </row>
    <row r="46" spans="1:11" ht="18.600000000000001" customHeight="1" x14ac:dyDescent="0.15">
      <c r="A46" s="276"/>
      <c r="B46" s="128">
        <f>IF(B8=0,0,IF(OR(B31=0,B28-B31=0),0,ROUND((B28-B31)*(IF(AND(B1=0,B3=3),VLOOKUP(B32,賦金率表!A5:S64,15,0),0)),0)))</f>
        <v>0</v>
      </c>
      <c r="C46" s="112" t="s">
        <v>125</v>
      </c>
      <c r="D46" s="278" t="s">
        <v>140</v>
      </c>
      <c r="E46" s="278"/>
      <c r="F46" s="278"/>
      <c r="G46" s="278"/>
      <c r="H46" s="278"/>
      <c r="I46" s="278"/>
      <c r="J46" s="278"/>
      <c r="K46" s="278"/>
    </row>
    <row r="47" spans="1:11" ht="18.600000000000001" customHeight="1" x14ac:dyDescent="0.15">
      <c r="A47" s="276"/>
      <c r="B47" s="128">
        <f>IF(B8=0,0,IF(OR(B31=0,B28-B31=0),0,ROUND((B28-B31)*(IF(AND(B1=1,B3=1),VLOOKUP(B32,賦金率表!A5:S64,6,0),0)),0)))</f>
        <v>0</v>
      </c>
      <c r="C47" s="112" t="s">
        <v>141</v>
      </c>
      <c r="D47" s="278"/>
      <c r="E47" s="278"/>
      <c r="F47" s="278"/>
      <c r="G47" s="278"/>
      <c r="H47" s="278"/>
      <c r="I47" s="278"/>
      <c r="J47" s="278"/>
      <c r="K47" s="278"/>
    </row>
    <row r="48" spans="1:11" ht="18.600000000000001" customHeight="1" x14ac:dyDescent="0.15">
      <c r="A48" s="276"/>
      <c r="B48" s="128">
        <f>IF(B8=0,0,IF(OR(B31=0,B28-B31=0),0,ROUND((B28-B31)*(IF(AND(B1=1,B3=2),VLOOKUP(B32,賦金率表!A5:S64,12,0),0)),0)))</f>
        <v>0</v>
      </c>
      <c r="C48" s="112" t="s">
        <v>142</v>
      </c>
      <c r="D48" s="45"/>
    </row>
    <row r="49" spans="1:4" ht="18.600000000000001" customHeight="1" thickBot="1" x14ac:dyDescent="0.2">
      <c r="A49" s="276"/>
      <c r="B49" s="123">
        <f>IF(B8=0,0,IF(OR(B31=0,B28-B31=0),0,ROUND((B28-B31)*(IF(AND(B1=1,B3=3),VLOOKUP(B32,賦金率表!A5:S64,18,0),0)),0)))</f>
        <v>0</v>
      </c>
      <c r="C49" s="112" t="s">
        <v>143</v>
      </c>
      <c r="D49" s="45"/>
    </row>
    <row r="50" spans="1:4" ht="18.600000000000001" customHeight="1" x14ac:dyDescent="0.15">
      <c r="A50" s="161" t="s">
        <v>80</v>
      </c>
      <c r="B50" s="130" t="e">
        <f>IF(ISERROR(SUM(B38:B43)),"",IF(B10&lt;SUM(B38:B43)+D23,"償還合計は給料月額の１０分の３以内でお願いします!",""))</f>
        <v>#VALUE!</v>
      </c>
      <c r="C50" s="100" t="s">
        <v>175</v>
      </c>
    </row>
    <row r="51" spans="1:4" ht="18.600000000000001" customHeight="1" x14ac:dyDescent="0.15">
      <c r="A51" s="161" t="s">
        <v>81</v>
      </c>
      <c r="B51" s="121" t="e">
        <f>IF(ISERROR(SUM(B44:B49)),"",IF(B11&lt;SUM(B44:B49)+E23,"償還合計は給料月額の１０分の６以内でお願いします!",""))</f>
        <v>#VALUE!</v>
      </c>
      <c r="C51" s="100" t="s">
        <v>176</v>
      </c>
    </row>
    <row r="52" spans="1:4" ht="18" customHeight="1" x14ac:dyDescent="0.15">
      <c r="A52" s="161" t="s">
        <v>87</v>
      </c>
      <c r="B52" s="131" t="e">
        <f>SUM(B12,B29,B31)+TRUNC(B28*B25)</f>
        <v>#VALUE!</v>
      </c>
      <c r="C52" s="100" t="s">
        <v>152</v>
      </c>
    </row>
    <row r="53" spans="1:4" ht="18" customHeight="1" x14ac:dyDescent="0.15">
      <c r="A53" s="161" t="s">
        <v>88</v>
      </c>
      <c r="B53" s="119" t="str">
        <f>IF(AND(B8=1,200000&lt;=B31,B29=0),"ﾎﾞｰﾅｽ部分のみ一部繰上償還する場合、申出書に記入する一部繰上償還後の毎月償還額は0になります。","")</f>
        <v/>
      </c>
      <c r="C53" s="100" t="s">
        <v>153</v>
      </c>
    </row>
  </sheetData>
  <sheetProtection password="B7E8" sheet="1" selectLockedCells="1"/>
  <mergeCells count="4">
    <mergeCell ref="A44:A49"/>
    <mergeCell ref="A38:A43"/>
    <mergeCell ref="C30:K31"/>
    <mergeCell ref="D46:K47"/>
  </mergeCells>
  <phoneticPr fontId="2"/>
  <conditionalFormatting sqref="B38:B49">
    <cfRule type="cellIs" dxfId="0" priority="1" stopIfTrue="1" operator="greaterThan">
      <formula>0</formula>
    </cfRule>
  </conditionalFormatting>
  <pageMargins left="0.2" right="0.2" top="0.28000000000000003" bottom="0.34" header="0.2" footer="0.2"/>
  <pageSetup paperSize="9" scale="45" orientation="landscape" verticalDpi="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Z364"/>
  <sheetViews>
    <sheetView workbookViewId="0">
      <selection activeCell="G8" sqref="G8"/>
    </sheetView>
  </sheetViews>
  <sheetFormatPr defaultRowHeight="13.5" x14ac:dyDescent="0.15"/>
  <cols>
    <col min="1" max="1" width="4.875" style="42" bestFit="1" customWidth="1"/>
    <col min="2" max="2" width="12.25" style="2" bestFit="1" customWidth="1"/>
    <col min="3" max="19" width="12.25" bestFit="1" customWidth="1"/>
    <col min="22" max="22" width="13.375" bestFit="1" customWidth="1"/>
    <col min="23" max="26" width="13.875" bestFit="1" customWidth="1"/>
  </cols>
  <sheetData>
    <row r="1" spans="1:26" x14ac:dyDescent="0.15">
      <c r="A1" s="280"/>
      <c r="B1" s="282" t="s">
        <v>51</v>
      </c>
      <c r="C1" s="282"/>
      <c r="D1" s="282"/>
      <c r="E1" s="282"/>
      <c r="F1" s="282"/>
      <c r="G1" s="282"/>
      <c r="H1" s="283" t="s">
        <v>52</v>
      </c>
      <c r="I1" s="283"/>
      <c r="J1" s="283"/>
      <c r="K1" s="283"/>
      <c r="L1" s="283"/>
      <c r="M1" s="283"/>
      <c r="N1" s="279" t="s">
        <v>53</v>
      </c>
      <c r="O1" s="279"/>
      <c r="P1" s="279"/>
      <c r="Q1" s="279"/>
      <c r="R1" s="279"/>
      <c r="S1" s="279"/>
    </row>
    <row r="2" spans="1:26" x14ac:dyDescent="0.15">
      <c r="A2" s="281"/>
      <c r="B2" s="146">
        <v>1.26E-2</v>
      </c>
      <c r="C2" s="136" t="s">
        <v>155</v>
      </c>
      <c r="D2" s="140">
        <f>ROUNDDOWN(+B2/12,6)</f>
        <v>1.0499999999999999E-3</v>
      </c>
      <c r="E2" s="135">
        <f>+B2+0.06%</f>
        <v>1.32E-2</v>
      </c>
      <c r="F2" s="136" t="s">
        <v>155</v>
      </c>
      <c r="G2" s="140">
        <f>ROUNDDOWN(+E2/12,6)</f>
        <v>1.1000000000000001E-3</v>
      </c>
      <c r="H2" s="137">
        <v>9.2999999999999992E-3</v>
      </c>
      <c r="I2" s="138" t="s">
        <v>154</v>
      </c>
      <c r="J2" s="139">
        <f>ROUNDDOWN(+H2/12,6)</f>
        <v>7.7499999999999997E-4</v>
      </c>
      <c r="K2" s="137">
        <f>+H2+0.06%</f>
        <v>9.8999999999999991E-3</v>
      </c>
      <c r="L2" s="138" t="s">
        <v>154</v>
      </c>
      <c r="M2" s="139">
        <f>ROUNDDOWN(+K2/12,6)</f>
        <v>8.25E-4</v>
      </c>
      <c r="N2" s="141">
        <f>+B2-0.26%</f>
        <v>0.01</v>
      </c>
      <c r="O2" s="142" t="s">
        <v>154</v>
      </c>
      <c r="P2" s="143">
        <f>ROUNDDOWN(+N2/12,6)</f>
        <v>8.3299999999999997E-4</v>
      </c>
      <c r="Q2" s="141">
        <f>+N2+0.06%</f>
        <v>1.06E-2</v>
      </c>
      <c r="R2" s="142" t="s">
        <v>154</v>
      </c>
      <c r="S2" s="143">
        <f>ROUNDDOWN(+Q2/12,6)</f>
        <v>8.83E-4</v>
      </c>
    </row>
    <row r="3" spans="1:26" x14ac:dyDescent="0.15">
      <c r="A3" s="41" t="s">
        <v>3</v>
      </c>
      <c r="B3" s="28" t="s">
        <v>54</v>
      </c>
      <c r="C3" s="28" t="s">
        <v>4</v>
      </c>
      <c r="D3" s="28" t="s">
        <v>5</v>
      </c>
      <c r="E3" s="28" t="s">
        <v>54</v>
      </c>
      <c r="F3" s="28" t="s">
        <v>4</v>
      </c>
      <c r="G3" s="30" t="s">
        <v>5</v>
      </c>
      <c r="H3" s="32" t="s">
        <v>54</v>
      </c>
      <c r="I3" s="33" t="s">
        <v>4</v>
      </c>
      <c r="J3" s="32" t="s">
        <v>5</v>
      </c>
      <c r="K3" s="32" t="s">
        <v>54</v>
      </c>
      <c r="L3" s="32" t="s">
        <v>4</v>
      </c>
      <c r="M3" s="32" t="s">
        <v>5</v>
      </c>
      <c r="N3" s="37" t="s">
        <v>54</v>
      </c>
      <c r="O3" s="37" t="s">
        <v>4</v>
      </c>
      <c r="P3" s="37" t="s">
        <v>5</v>
      </c>
      <c r="Q3" s="37" t="s">
        <v>54</v>
      </c>
      <c r="R3" s="37" t="s">
        <v>4</v>
      </c>
      <c r="S3" s="37" t="s">
        <v>5</v>
      </c>
    </row>
    <row r="4" spans="1:26" hidden="1" x14ac:dyDescent="0.15">
      <c r="A4" s="41"/>
      <c r="B4" s="28"/>
      <c r="C4" s="28">
        <v>5</v>
      </c>
      <c r="D4" s="28">
        <v>6</v>
      </c>
      <c r="E4" s="28"/>
      <c r="F4" s="28">
        <v>5</v>
      </c>
      <c r="G4" s="28">
        <v>6</v>
      </c>
      <c r="H4" s="32"/>
      <c r="I4" s="33">
        <v>5</v>
      </c>
      <c r="J4" s="132">
        <v>6</v>
      </c>
      <c r="K4" s="32"/>
      <c r="L4" s="33">
        <v>5</v>
      </c>
      <c r="M4" s="132">
        <v>6</v>
      </c>
      <c r="N4" s="37"/>
      <c r="O4" s="133">
        <v>5</v>
      </c>
      <c r="P4" s="134">
        <v>6</v>
      </c>
      <c r="Q4" s="37"/>
      <c r="R4" s="133">
        <v>5</v>
      </c>
      <c r="S4" s="37">
        <v>6</v>
      </c>
    </row>
    <row r="5" spans="1:26" x14ac:dyDescent="0.15">
      <c r="A5" s="41">
        <v>1</v>
      </c>
      <c r="B5" s="144">
        <f>ROUND(D$2*(1+D$2)^$A5/((1+D$2)^$A5-1),10)</f>
        <v>1.00105</v>
      </c>
      <c r="C5" s="144">
        <f>ROUND((D$2*6)*(1+D$2*6*C$4/6)*(1+D$2*6)^($A5-1)/((1+D$2*6)^$A5-1),10)</f>
        <v>1.00525</v>
      </c>
      <c r="D5" s="144">
        <f>ROUND((D$2*6)*(1+D$2*6*D$4/6)*(1+D$2*6)^($A5-1)/((1+D$2*6)^$A5-1),10)</f>
        <v>1.0063</v>
      </c>
      <c r="E5" s="144">
        <f>ROUND(G$2*(1+G$2)^$A5/((1+G$2)^$A5-1),10)</f>
        <v>1.0011000000000001</v>
      </c>
      <c r="F5" s="29">
        <f>ROUND((G$2*6)*(1+G$2*6*F$4/6)*(1+G$2*6)^($A5-1)/((1+G$2*6)^$A5-1),10)</f>
        <v>1.0055000000000001</v>
      </c>
      <c r="G5" s="31">
        <f>ROUND((G$2*6)*(1+G$2*6*G$4/6)*(1+G$2*6)^($A5-1)/((1+G$2*6)^$A5-1),10)</f>
        <v>1.0065999999999999</v>
      </c>
      <c r="H5" s="34">
        <f t="shared" ref="H5:H20" si="0">ROUND(J$2*(1+J$2)^$A5/((1+J$2)^$A5-1),10)</f>
        <v>1.000775</v>
      </c>
      <c r="I5" s="35">
        <f t="shared" ref="I5:I36" si="1">ROUND((J$2*6)*(1+J$2*6*I$4/6)*(1+J$2*6)^($A5-1)/((1+J$2*6)^$A5-1),10)</f>
        <v>1.0038750000000001</v>
      </c>
      <c r="J5" s="36">
        <f t="shared" ref="J5:J36" si="2">ROUND((J$2*6)*(1+J$2*6*J$4/6)*(1+J$2*6)^($A5-1)/((1+J$2*6)^$A5-1),10)</f>
        <v>1.00465</v>
      </c>
      <c r="K5" s="34">
        <f t="shared" ref="K5:K20" si="3">ROUND(M$2*(1+M$2)^$A5/((1+M$2)^$A5-1),10)</f>
        <v>1.0008250000000001</v>
      </c>
      <c r="L5" s="35">
        <f t="shared" ref="L5:L36" si="4">ROUND((M$2*6)*(1+M$2*6*L$4/6)*(1+M$2*6)^($A5-1)/((1+M$2*6)^$A5-1),10)</f>
        <v>1.0041249999999999</v>
      </c>
      <c r="M5" s="36">
        <f t="shared" ref="M5:M36" si="5">ROUND((M$2*6)*(1+M$2*6*M$4/6)*(1+M$2*6)^($A5-1)/((1+M$2*6)^$A5-1),10)</f>
        <v>1.00495</v>
      </c>
      <c r="N5" s="38">
        <f t="shared" ref="N5:N20" si="6">ROUND(P$2*(1+P$2)^$A5/((1+P$2)^$A5-1),10)</f>
        <v>1.0008330000000001</v>
      </c>
      <c r="O5" s="39">
        <f t="shared" ref="O5:O36" si="7">ROUND((P$2*6)*(1+P$2*6*O$4/6)*(1+P$2*6)^($A5-1)/((1+P$2*6)^$A5-1),10)</f>
        <v>1.004165</v>
      </c>
      <c r="P5" s="40">
        <f t="shared" ref="P5:P36" si="8">ROUND((P$2*6)*(1+P$2*6*P$4/6)*(1+P$2*6)^($A5-1)/((1+P$2*6)^$A5-1),10)</f>
        <v>1.0049980000000001</v>
      </c>
      <c r="Q5" s="38">
        <f t="shared" ref="Q5:Q20" si="9">ROUND(S$2*(1+S$2)^$A5/((1+S$2)^$A5-1),10)</f>
        <v>1.000883</v>
      </c>
      <c r="R5" s="39">
        <f t="shared" ref="R5:R36" si="10">ROUND((S$2*6)*(1+S$2*6*R$4/6)*(1+S$2*6)^($A5-1)/((1+S$2*6)^$A5-1),10)</f>
        <v>1.0044150000000001</v>
      </c>
      <c r="S5" s="38">
        <f t="shared" ref="S5:S36" si="11">ROUND((S$2*6)*(1+S$2*6*S$4/6)*(1+S$2*6)^($A5-1)/((1+S$2*6)^$A5-1),10)</f>
        <v>1.005298</v>
      </c>
      <c r="V5" s="145"/>
      <c r="W5" s="147"/>
      <c r="X5" s="147"/>
      <c r="Y5" s="147"/>
      <c r="Z5" s="147"/>
    </row>
    <row r="6" spans="1:26" x14ac:dyDescent="0.15">
      <c r="A6" s="41">
        <v>2</v>
      </c>
      <c r="B6" s="144">
        <f t="shared" ref="B6:B69" si="12">ROUND(D$2*(1+D$2)^$A6/((1+D$2)^$A6-1),10)</f>
        <v>0.50078763770000001</v>
      </c>
      <c r="C6" s="144">
        <f t="shared" ref="C6:C64" si="13">ROUND((D$2*6)*(1+D$2*6*C$4/6)*(1+D$2*6)^($A6-1)/((1+D$2*6)^$A6-1),10)</f>
        <v>0.5042032971</v>
      </c>
      <c r="D6" s="144">
        <f t="shared" ref="D6:D64" si="14">ROUND((D$2*6)*(1+D$2*6*D$4/6)*(1+D$2*6)^($A6-1)/((1+D$2*6)^$A6-1),10)</f>
        <v>0.50472994569999996</v>
      </c>
      <c r="E6" s="29">
        <f t="shared" ref="E6:E69" si="15">ROUND(G$2*(1+G$2)^$A6/((1+G$2)^$A6-1),10)</f>
        <v>0.50082515120000004</v>
      </c>
      <c r="F6" s="29">
        <f t="shared" ref="F6:F64" si="16">ROUND((G$2*6)*(1+G$2*6*F$4/6)*(1+G$2*6)^($A6-1)/((1+G$2*6)^$A6-1),10)</f>
        <v>0.50440361810000001</v>
      </c>
      <c r="G6" s="31">
        <f t="shared" ref="G6:G64" si="17">ROUND((G$2*6)*(1+G$2*6*G$4/6)*(1+G$2*6)^($A6-1)/((1+G$2*6)^$A6-1),10)</f>
        <v>0.50495542709999997</v>
      </c>
      <c r="H6" s="34">
        <f t="shared" si="0"/>
        <v>0.50058132499999997</v>
      </c>
      <c r="I6" s="35">
        <f t="shared" si="1"/>
        <v>0.50310179769999996</v>
      </c>
      <c r="J6" s="36">
        <f t="shared" si="2"/>
        <v>0.50349019650000004</v>
      </c>
      <c r="K6" s="34">
        <f t="shared" si="3"/>
        <v>0.50061883500000004</v>
      </c>
      <c r="L6" s="35">
        <f t="shared" si="4"/>
        <v>0.50330203679999996</v>
      </c>
      <c r="M6" s="36">
        <f t="shared" si="5"/>
        <v>0.50371555530000001</v>
      </c>
      <c r="N6" s="38">
        <f t="shared" si="6"/>
        <v>0.50062483670000002</v>
      </c>
      <c r="O6" s="39">
        <f t="shared" si="7"/>
        <v>0.50333407649999995</v>
      </c>
      <c r="P6" s="40">
        <f t="shared" si="8"/>
        <v>0.50375161469999996</v>
      </c>
      <c r="Q6" s="38">
        <f t="shared" si="9"/>
        <v>0.50066234740000004</v>
      </c>
      <c r="R6" s="39">
        <f t="shared" si="10"/>
        <v>0.50353433290000005</v>
      </c>
      <c r="S6" s="38">
        <f t="shared" si="11"/>
        <v>0.50397699929999995</v>
      </c>
      <c r="V6" s="145"/>
      <c r="W6" s="147"/>
      <c r="X6" s="147"/>
      <c r="Y6" s="147"/>
      <c r="Z6" s="147"/>
    </row>
    <row r="7" spans="1:26" x14ac:dyDescent="0.15">
      <c r="A7" s="41">
        <v>3</v>
      </c>
      <c r="B7" s="144">
        <f t="shared" si="12"/>
        <v>0.33403357820000001</v>
      </c>
      <c r="C7" s="144">
        <f t="shared" si="13"/>
        <v>0.33718992520000002</v>
      </c>
      <c r="D7" s="144">
        <f t="shared" si="14"/>
        <v>0.33754212560000002</v>
      </c>
      <c r="E7" s="29">
        <f t="shared" si="15"/>
        <v>0.33406693539999999</v>
      </c>
      <c r="F7" s="29">
        <f t="shared" si="16"/>
        <v>0.33737390010000001</v>
      </c>
      <c r="G7" s="31">
        <f t="shared" si="17"/>
        <v>0.33774298149999998</v>
      </c>
      <c r="H7" s="34">
        <f t="shared" si="0"/>
        <v>0.33385013340000003</v>
      </c>
      <c r="I7" s="35">
        <f t="shared" si="1"/>
        <v>0.33617859449999998</v>
      </c>
      <c r="J7" s="36">
        <f t="shared" si="2"/>
        <v>0.33643812719999999</v>
      </c>
      <c r="K7" s="34">
        <f t="shared" si="3"/>
        <v>0.33388348449999999</v>
      </c>
      <c r="L7" s="35">
        <f t="shared" si="4"/>
        <v>0.33636240589999999</v>
      </c>
      <c r="M7" s="36">
        <f t="shared" si="5"/>
        <v>0.3366387649</v>
      </c>
      <c r="N7" s="38">
        <f t="shared" si="6"/>
        <v>0.33388882079999999</v>
      </c>
      <c r="O7" s="39">
        <f t="shared" si="7"/>
        <v>0.33639181849999999</v>
      </c>
      <c r="P7" s="40">
        <f t="shared" si="8"/>
        <v>0.33667087060000001</v>
      </c>
      <c r="Q7" s="38">
        <f t="shared" si="9"/>
        <v>0.33392217320000001</v>
      </c>
      <c r="R7" s="39">
        <f t="shared" si="10"/>
        <v>0.33657566439999997</v>
      </c>
      <c r="S7" s="38">
        <f t="shared" si="11"/>
        <v>0.3368715544</v>
      </c>
      <c r="V7" s="145"/>
      <c r="W7" s="147"/>
      <c r="X7" s="147"/>
      <c r="Y7" s="147"/>
      <c r="Z7" s="147"/>
    </row>
    <row r="8" spans="1:26" x14ac:dyDescent="0.15">
      <c r="A8" s="41">
        <v>4</v>
      </c>
      <c r="B8" s="144">
        <f t="shared" si="12"/>
        <v>0.25065659439999999</v>
      </c>
      <c r="C8" s="144">
        <f t="shared" si="13"/>
        <v>0.25368488610000001</v>
      </c>
      <c r="D8" s="144">
        <f t="shared" si="14"/>
        <v>0.25394986409999998</v>
      </c>
      <c r="E8" s="29">
        <f t="shared" si="15"/>
        <v>0.25068787790000002</v>
      </c>
      <c r="F8" s="29">
        <f t="shared" si="16"/>
        <v>0.25386084809999998</v>
      </c>
      <c r="G8" s="31">
        <f t="shared" si="17"/>
        <v>0.25413856759999998</v>
      </c>
      <c r="H8" s="34">
        <f t="shared" si="0"/>
        <v>0.25048456260000002</v>
      </c>
      <c r="I8" s="35">
        <f t="shared" si="1"/>
        <v>0.25271789099999997</v>
      </c>
      <c r="J8" s="36">
        <f t="shared" si="2"/>
        <v>0.2529129913</v>
      </c>
      <c r="K8" s="34">
        <f t="shared" si="3"/>
        <v>0.25051583760000001</v>
      </c>
      <c r="L8" s="35">
        <f t="shared" si="4"/>
        <v>0.25289360799999999</v>
      </c>
      <c r="M8" s="36">
        <f t="shared" si="5"/>
        <v>0.25310138809999999</v>
      </c>
      <c r="N8" s="38">
        <f t="shared" si="6"/>
        <v>0.2505208417</v>
      </c>
      <c r="O8" s="39">
        <f t="shared" si="7"/>
        <v>0.25292172680000002</v>
      </c>
      <c r="P8" s="40">
        <f t="shared" si="8"/>
        <v>0.2531315368</v>
      </c>
      <c r="Q8" s="38">
        <f t="shared" si="9"/>
        <v>0.25055211849999998</v>
      </c>
      <c r="R8" s="39">
        <f t="shared" si="10"/>
        <v>0.25309749549999999</v>
      </c>
      <c r="S8" s="38">
        <f t="shared" si="11"/>
        <v>0.25331999830000002</v>
      </c>
      <c r="V8" s="145"/>
      <c r="W8" s="147"/>
      <c r="X8" s="147"/>
      <c r="Y8" s="147"/>
      <c r="Z8" s="147"/>
    </row>
    <row r="9" spans="1:26" x14ac:dyDescent="0.15">
      <c r="A9" s="41">
        <v>5</v>
      </c>
      <c r="B9" s="144">
        <f t="shared" si="12"/>
        <v>0.2006304408</v>
      </c>
      <c r="C9" s="144">
        <f t="shared" si="13"/>
        <v>0.20358318</v>
      </c>
      <c r="D9" s="144">
        <f t="shared" si="14"/>
        <v>0.2037958259</v>
      </c>
      <c r="E9" s="29">
        <f t="shared" si="15"/>
        <v>0.2006604837</v>
      </c>
      <c r="F9" s="29">
        <f t="shared" si="16"/>
        <v>0.20375446250000001</v>
      </c>
      <c r="G9" s="31">
        <f t="shared" si="17"/>
        <v>0.2039773664</v>
      </c>
      <c r="H9" s="34">
        <f t="shared" si="0"/>
        <v>0.20046524020000001</v>
      </c>
      <c r="I9" s="35">
        <f t="shared" si="1"/>
        <v>0.20264218740000001</v>
      </c>
      <c r="J9" s="36">
        <f t="shared" si="2"/>
        <v>0.2027986289</v>
      </c>
      <c r="K9" s="34">
        <f t="shared" si="3"/>
        <v>0.20049527210000001</v>
      </c>
      <c r="L9" s="35">
        <f t="shared" si="4"/>
        <v>0.20281314319999999</v>
      </c>
      <c r="M9" s="36">
        <f t="shared" si="5"/>
        <v>0.2029797767</v>
      </c>
      <c r="N9" s="38">
        <f t="shared" si="6"/>
        <v>0.2005000774</v>
      </c>
      <c r="O9" s="39">
        <f t="shared" si="7"/>
        <v>0.20284050170000001</v>
      </c>
      <c r="P9" s="40">
        <f t="shared" si="8"/>
        <v>0.20300876700000001</v>
      </c>
      <c r="Q9" s="38">
        <f t="shared" si="9"/>
        <v>0.20053011170000001</v>
      </c>
      <c r="R9" s="39">
        <f t="shared" si="10"/>
        <v>0.20301152650000001</v>
      </c>
      <c r="S9" s="38">
        <f t="shared" si="11"/>
        <v>0.20318999770000001</v>
      </c>
      <c r="V9" s="145"/>
      <c r="W9" s="147"/>
      <c r="X9" s="147"/>
      <c r="Y9" s="147"/>
      <c r="Z9" s="147"/>
    </row>
    <row r="10" spans="1:26" x14ac:dyDescent="0.15">
      <c r="A10" s="41">
        <v>6</v>
      </c>
      <c r="B10" s="144">
        <f t="shared" si="12"/>
        <v>0.1672797023</v>
      </c>
      <c r="C10" s="144">
        <f t="shared" si="13"/>
        <v>0.17018314039999999</v>
      </c>
      <c r="D10" s="144">
        <f t="shared" si="14"/>
        <v>0.17036089939999999</v>
      </c>
      <c r="E10" s="29">
        <f t="shared" si="15"/>
        <v>0.16730892119999999</v>
      </c>
      <c r="F10" s="29">
        <f t="shared" si="16"/>
        <v>0.17035141000000001</v>
      </c>
      <c r="G10" s="31">
        <f t="shared" si="17"/>
        <v>0.17053777149999999</v>
      </c>
      <c r="H10" s="34">
        <f t="shared" si="0"/>
        <v>0.16711904189999999</v>
      </c>
      <c r="I10" s="35">
        <f t="shared" si="1"/>
        <v>0.1692589837</v>
      </c>
      <c r="J10" s="36">
        <f t="shared" si="2"/>
        <v>0.16938965310000001</v>
      </c>
      <c r="K10" s="34">
        <f t="shared" si="3"/>
        <v>0.16714824740000001</v>
      </c>
      <c r="L10" s="35">
        <f t="shared" si="4"/>
        <v>0.1694268451</v>
      </c>
      <c r="M10" s="36">
        <f t="shared" si="5"/>
        <v>0.169566048</v>
      </c>
      <c r="N10" s="38">
        <f t="shared" si="6"/>
        <v>0.1671529205</v>
      </c>
      <c r="O10" s="39">
        <f t="shared" si="7"/>
        <v>0.16945370979999999</v>
      </c>
      <c r="P10" s="40">
        <f t="shared" si="8"/>
        <v>0.16959427930000001</v>
      </c>
      <c r="Q10" s="38">
        <f t="shared" si="9"/>
        <v>0.1671821288</v>
      </c>
      <c r="R10" s="39">
        <f t="shared" si="10"/>
        <v>0.16962165739999999</v>
      </c>
      <c r="S10" s="38">
        <f t="shared" si="11"/>
        <v>0.16977077500000001</v>
      </c>
      <c r="V10" s="145"/>
      <c r="W10" s="147"/>
      <c r="X10" s="147"/>
      <c r="Y10" s="147"/>
      <c r="Z10" s="147"/>
    </row>
    <row r="11" spans="1:26" x14ac:dyDescent="0.15">
      <c r="A11" s="41">
        <v>7</v>
      </c>
      <c r="B11" s="144">
        <f t="shared" si="12"/>
        <v>0.1434577725</v>
      </c>
      <c r="C11" s="144">
        <f t="shared" si="13"/>
        <v>0.14632691010000001</v>
      </c>
      <c r="D11" s="144">
        <f t="shared" si="14"/>
        <v>0.14647975099999999</v>
      </c>
      <c r="E11" s="29">
        <f t="shared" si="15"/>
        <v>0.14348640530000001</v>
      </c>
      <c r="F11" s="29">
        <f t="shared" si="16"/>
        <v>0.14649311919999999</v>
      </c>
      <c r="G11" s="31">
        <f t="shared" si="17"/>
        <v>0.14665338019999999</v>
      </c>
      <c r="H11" s="34">
        <f t="shared" si="0"/>
        <v>0.1433003431</v>
      </c>
      <c r="I11" s="35">
        <f t="shared" si="1"/>
        <v>0.14541435150000001</v>
      </c>
      <c r="J11" s="36">
        <f t="shared" si="2"/>
        <v>0.14552661259999999</v>
      </c>
      <c r="K11" s="34">
        <f t="shared" si="3"/>
        <v>0.14332896019999999</v>
      </c>
      <c r="L11" s="35">
        <f t="shared" si="4"/>
        <v>0.14558007070000001</v>
      </c>
      <c r="M11" s="36">
        <f t="shared" si="5"/>
        <v>0.14569968089999999</v>
      </c>
      <c r="N11" s="38">
        <f t="shared" si="6"/>
        <v>0.1433335392</v>
      </c>
      <c r="O11" s="39">
        <f t="shared" si="7"/>
        <v>0.14560659409999999</v>
      </c>
      <c r="P11" s="40">
        <f t="shared" si="8"/>
        <v>0.14572738129999999</v>
      </c>
      <c r="Q11" s="38">
        <f t="shared" si="9"/>
        <v>0.14336215960000001</v>
      </c>
      <c r="R11" s="39">
        <f t="shared" si="10"/>
        <v>0.1457724168</v>
      </c>
      <c r="S11" s="38">
        <f t="shared" si="11"/>
        <v>0.14590056800000001</v>
      </c>
      <c r="V11" s="145"/>
      <c r="W11" s="147"/>
      <c r="X11" s="147"/>
      <c r="Y11" s="147"/>
      <c r="Z11" s="147"/>
    </row>
    <row r="12" spans="1:26" x14ac:dyDescent="0.15">
      <c r="A12" s="41">
        <v>8</v>
      </c>
      <c r="B12" s="144">
        <f t="shared" si="12"/>
        <v>0.1255913481</v>
      </c>
      <c r="C12" s="144">
        <f t="shared" si="13"/>
        <v>0.12843556070000001</v>
      </c>
      <c r="D12" s="144">
        <f t="shared" si="14"/>
        <v>0.1285697137</v>
      </c>
      <c r="E12" s="29">
        <f t="shared" si="15"/>
        <v>0.12561954359999999</v>
      </c>
      <c r="F12" s="29">
        <f t="shared" si="16"/>
        <v>0.1286003044</v>
      </c>
      <c r="G12" s="31">
        <f t="shared" si="17"/>
        <v>0.128740991</v>
      </c>
      <c r="H12" s="34">
        <f t="shared" si="0"/>
        <v>0.1254363315</v>
      </c>
      <c r="I12" s="35">
        <f t="shared" si="1"/>
        <v>0.1275313263</v>
      </c>
      <c r="J12" s="36">
        <f t="shared" si="2"/>
        <v>0.12762978150000001</v>
      </c>
      <c r="K12" s="34">
        <f t="shared" si="3"/>
        <v>0.125464509</v>
      </c>
      <c r="L12" s="35">
        <f t="shared" si="4"/>
        <v>0.12769549869999999</v>
      </c>
      <c r="M12" s="36">
        <f t="shared" si="5"/>
        <v>0.1278004147</v>
      </c>
      <c r="N12" s="38">
        <f t="shared" si="6"/>
        <v>0.12546901769999999</v>
      </c>
      <c r="O12" s="39">
        <f t="shared" si="7"/>
        <v>0.1277217759</v>
      </c>
      <c r="P12" s="40">
        <f t="shared" si="8"/>
        <v>0.12782772689999999</v>
      </c>
      <c r="Q12" s="38">
        <f t="shared" si="9"/>
        <v>0.1254971989</v>
      </c>
      <c r="R12" s="39">
        <f t="shared" si="10"/>
        <v>0.12788606890000001</v>
      </c>
      <c r="S12" s="38">
        <f t="shared" si="11"/>
        <v>0.12799849599999999</v>
      </c>
      <c r="V12" s="145"/>
      <c r="W12" s="147"/>
      <c r="X12" s="147"/>
      <c r="Y12" s="147"/>
      <c r="Z12" s="147"/>
    </row>
    <row r="13" spans="1:26" x14ac:dyDescent="0.15">
      <c r="A13" s="41">
        <v>9</v>
      </c>
      <c r="B13" s="144">
        <f t="shared" si="12"/>
        <v>0.11169526069999999</v>
      </c>
      <c r="C13" s="144">
        <f t="shared" si="13"/>
        <v>0.11452079850000001</v>
      </c>
      <c r="D13" s="144">
        <f t="shared" si="14"/>
        <v>0.11464041730000001</v>
      </c>
      <c r="E13" s="29">
        <f t="shared" si="15"/>
        <v>0.111723118</v>
      </c>
      <c r="F13" s="29">
        <f t="shared" si="16"/>
        <v>0.1146844737</v>
      </c>
      <c r="G13" s="31">
        <f t="shared" si="17"/>
        <v>0.1148099365</v>
      </c>
      <c r="H13" s="34">
        <f t="shared" si="0"/>
        <v>0.1115421114</v>
      </c>
      <c r="I13" s="35">
        <f t="shared" si="1"/>
        <v>0.1136227058</v>
      </c>
      <c r="J13" s="36">
        <f t="shared" si="2"/>
        <v>0.1137104235</v>
      </c>
      <c r="K13" s="34">
        <f t="shared" si="3"/>
        <v>0.11156994839999999</v>
      </c>
      <c r="L13" s="35">
        <f t="shared" si="4"/>
        <v>0.1137857281</v>
      </c>
      <c r="M13" s="36">
        <f t="shared" si="5"/>
        <v>0.11387921569999999</v>
      </c>
      <c r="N13" s="38">
        <f t="shared" si="6"/>
        <v>0.11157440270000001</v>
      </c>
      <c r="O13" s="39">
        <f t="shared" si="7"/>
        <v>0.1138118227</v>
      </c>
      <c r="P13" s="40">
        <f t="shared" si="8"/>
        <v>0.11390623480000001</v>
      </c>
      <c r="Q13" s="38">
        <f t="shared" si="9"/>
        <v>0.111602244</v>
      </c>
      <c r="R13" s="39">
        <f t="shared" si="10"/>
        <v>0.11397498289999999</v>
      </c>
      <c r="S13" s="38">
        <f t="shared" si="11"/>
        <v>0.1140751805</v>
      </c>
      <c r="V13" s="145"/>
      <c r="W13" s="147"/>
      <c r="X13" s="147"/>
      <c r="Y13" s="147"/>
      <c r="Z13" s="147"/>
    </row>
    <row r="14" spans="1:26" x14ac:dyDescent="0.15">
      <c r="A14" s="41">
        <v>10</v>
      </c>
      <c r="B14" s="144">
        <f t="shared" si="12"/>
        <v>0.1005784091</v>
      </c>
      <c r="C14" s="144">
        <f t="shared" si="13"/>
        <v>0.1033896472</v>
      </c>
      <c r="D14" s="144">
        <f t="shared" si="14"/>
        <v>0.10349763939999999</v>
      </c>
      <c r="E14" s="29">
        <f t="shared" si="15"/>
        <v>0.1006059977</v>
      </c>
      <c r="F14" s="29">
        <f t="shared" si="16"/>
        <v>0.1035525316</v>
      </c>
      <c r="G14" s="31">
        <f t="shared" si="17"/>
        <v>0.1036658163</v>
      </c>
      <c r="H14" s="34">
        <f t="shared" si="0"/>
        <v>0.10042674529999999</v>
      </c>
      <c r="I14" s="35">
        <f t="shared" si="1"/>
        <v>0.1024961687</v>
      </c>
      <c r="J14" s="36">
        <f t="shared" si="2"/>
        <v>0.1025752966</v>
      </c>
      <c r="K14" s="34">
        <f t="shared" si="3"/>
        <v>0.1004543113</v>
      </c>
      <c r="L14" s="35">
        <f t="shared" si="4"/>
        <v>0.1026583187</v>
      </c>
      <c r="M14" s="36">
        <f t="shared" si="5"/>
        <v>0.1027426639</v>
      </c>
      <c r="N14" s="38">
        <f t="shared" si="6"/>
        <v>0.1004587222</v>
      </c>
      <c r="O14" s="39">
        <f t="shared" si="7"/>
        <v>0.1026842751</v>
      </c>
      <c r="P14" s="40">
        <f t="shared" si="8"/>
        <v>0.10276945630000001</v>
      </c>
      <c r="Q14" s="38">
        <f t="shared" si="9"/>
        <v>0.100486293</v>
      </c>
      <c r="R14" s="39">
        <f t="shared" si="10"/>
        <v>0.1028465802</v>
      </c>
      <c r="S14" s="38">
        <f t="shared" si="11"/>
        <v>0.1029369946</v>
      </c>
      <c r="V14" s="145"/>
      <c r="W14" s="147"/>
      <c r="X14" s="147"/>
      <c r="Y14" s="147"/>
      <c r="Z14" s="147"/>
    </row>
    <row r="15" spans="1:26" x14ac:dyDescent="0.15">
      <c r="A15" s="41">
        <v>11</v>
      </c>
      <c r="B15" s="144">
        <f t="shared" si="12"/>
        <v>9.1482819899999998E-2</v>
      </c>
      <c r="C15" s="144">
        <f t="shared" si="13"/>
        <v>9.4282940199999998E-2</v>
      </c>
      <c r="D15" s="144">
        <f t="shared" si="14"/>
        <v>9.4381420300000005E-2</v>
      </c>
      <c r="E15" s="29">
        <f t="shared" si="15"/>
        <v>9.1510190300000002E-2</v>
      </c>
      <c r="F15" s="29">
        <f t="shared" si="16"/>
        <v>9.4445235799999999E-2</v>
      </c>
      <c r="G15" s="31">
        <f t="shared" si="17"/>
        <v>9.4548557300000002E-2</v>
      </c>
      <c r="H15" s="34">
        <f t="shared" si="0"/>
        <v>9.1332363999999999E-2</v>
      </c>
      <c r="I15" s="35">
        <f t="shared" si="1"/>
        <v>9.3392964800000006E-2</v>
      </c>
      <c r="J15" s="36">
        <f t="shared" si="2"/>
        <v>9.3465064900000006E-2</v>
      </c>
      <c r="K15" s="34">
        <f t="shared" si="3"/>
        <v>9.1359709400000003E-2</v>
      </c>
      <c r="L15" s="35">
        <f t="shared" si="4"/>
        <v>9.35544445E-2</v>
      </c>
      <c r="M15" s="36">
        <f t="shared" si="5"/>
        <v>9.3631309900000001E-2</v>
      </c>
      <c r="N15" s="38">
        <f t="shared" si="6"/>
        <v>9.1364085100000006E-2</v>
      </c>
      <c r="O15" s="39">
        <f t="shared" si="7"/>
        <v>9.3580295100000002E-2</v>
      </c>
      <c r="P15" s="40">
        <f t="shared" si="8"/>
        <v>9.3657924099999998E-2</v>
      </c>
      <c r="Q15" s="38">
        <f t="shared" si="9"/>
        <v>9.1391435800000004E-2</v>
      </c>
      <c r="R15" s="39">
        <f t="shared" si="10"/>
        <v>9.37419471E-2</v>
      </c>
      <c r="S15" s="38">
        <f t="shared" si="11"/>
        <v>9.3824357400000002E-2</v>
      </c>
      <c r="V15" s="145"/>
      <c r="W15" s="147"/>
      <c r="X15" s="147"/>
      <c r="Y15" s="147"/>
      <c r="Z15" s="147"/>
    </row>
    <row r="16" spans="1:26" x14ac:dyDescent="0.15">
      <c r="A16" s="41">
        <v>12</v>
      </c>
      <c r="B16" s="144">
        <f t="shared" si="12"/>
        <v>8.3903177600000003E-2</v>
      </c>
      <c r="C16" s="144">
        <f t="shared" si="13"/>
        <v>8.6694566400000006E-2</v>
      </c>
      <c r="D16" s="144">
        <f t="shared" si="14"/>
        <v>8.6785120300000004E-2</v>
      </c>
      <c r="E16" s="29">
        <f t="shared" si="15"/>
        <v>8.39303676E-2</v>
      </c>
      <c r="F16" s="29">
        <f t="shared" si="16"/>
        <v>8.6856424700000004E-2</v>
      </c>
      <c r="G16" s="31">
        <f t="shared" si="17"/>
        <v>8.6951444200000005E-2</v>
      </c>
      <c r="H16" s="34">
        <f t="shared" si="0"/>
        <v>8.3753721200000006E-2</v>
      </c>
      <c r="I16" s="35">
        <f t="shared" si="1"/>
        <v>8.5807260900000001E-2</v>
      </c>
      <c r="J16" s="36">
        <f t="shared" si="2"/>
        <v>8.58735048E-2</v>
      </c>
      <c r="K16" s="34">
        <f t="shared" si="3"/>
        <v>8.3780884E-2</v>
      </c>
      <c r="L16" s="35">
        <f t="shared" si="4"/>
        <v>8.5968221799999994E-2</v>
      </c>
      <c r="M16" s="36">
        <f t="shared" si="5"/>
        <v>8.6038854200000001E-2</v>
      </c>
      <c r="N16" s="38">
        <f t="shared" si="6"/>
        <v>8.3785230399999994E-2</v>
      </c>
      <c r="O16" s="39">
        <f t="shared" si="7"/>
        <v>8.5993990699999995E-2</v>
      </c>
      <c r="P16" s="40">
        <f t="shared" si="8"/>
        <v>8.6065326600000006E-2</v>
      </c>
      <c r="Q16" s="38">
        <f t="shared" si="9"/>
        <v>8.3812398900000001E-2</v>
      </c>
      <c r="R16" s="39">
        <f t="shared" si="10"/>
        <v>8.6155141199999993E-2</v>
      </c>
      <c r="S16" s="38">
        <f t="shared" si="11"/>
        <v>8.6230881800000006E-2</v>
      </c>
      <c r="V16" s="145"/>
      <c r="W16" s="147"/>
      <c r="X16" s="147"/>
      <c r="Y16" s="147"/>
      <c r="Z16" s="147"/>
    </row>
    <row r="17" spans="1:26" x14ac:dyDescent="0.15">
      <c r="A17" s="41">
        <v>13</v>
      </c>
      <c r="B17" s="144">
        <f t="shared" si="12"/>
        <v>7.7489648199999997E-2</v>
      </c>
      <c r="C17" s="144">
        <f t="shared" si="13"/>
        <v>8.0274141199999996E-2</v>
      </c>
      <c r="D17" s="144">
        <f t="shared" si="14"/>
        <v>8.0357988899999996E-2</v>
      </c>
      <c r="E17" s="29">
        <f t="shared" si="15"/>
        <v>7.7516687000000001E-2</v>
      </c>
      <c r="F17" s="29">
        <f t="shared" si="16"/>
        <v>8.0435678699999999E-2</v>
      </c>
      <c r="G17" s="31">
        <f t="shared" si="17"/>
        <v>8.0523674000000003E-2</v>
      </c>
      <c r="H17" s="34">
        <f t="shared" si="0"/>
        <v>7.7341031199999993E-2</v>
      </c>
      <c r="I17" s="35">
        <f t="shared" si="1"/>
        <v>7.9388864599999998E-2</v>
      </c>
      <c r="J17" s="36">
        <f t="shared" si="2"/>
        <v>7.9450153499999995E-2</v>
      </c>
      <c r="K17" s="34">
        <f t="shared" si="3"/>
        <v>7.7368040400000004E-2</v>
      </c>
      <c r="L17" s="35">
        <f t="shared" si="4"/>
        <v>7.9549423300000005E-2</v>
      </c>
      <c r="M17" s="36">
        <f t="shared" si="5"/>
        <v>7.9614781900000001E-2</v>
      </c>
      <c r="N17" s="38">
        <f t="shared" si="6"/>
        <v>7.7372362299999997E-2</v>
      </c>
      <c r="O17" s="39">
        <f t="shared" si="7"/>
        <v>7.9575129199999997E-2</v>
      </c>
      <c r="P17" s="40">
        <f t="shared" si="8"/>
        <v>7.9641140299999996E-2</v>
      </c>
      <c r="Q17" s="38">
        <f t="shared" si="9"/>
        <v>7.7399377800000002E-2</v>
      </c>
      <c r="R17" s="39">
        <f t="shared" si="10"/>
        <v>7.9735894599999996E-2</v>
      </c>
      <c r="S17" s="38">
        <f t="shared" si="11"/>
        <v>7.9805991899999998E-2</v>
      </c>
      <c r="V17" s="145"/>
      <c r="W17" s="147"/>
      <c r="X17" s="147"/>
      <c r="Y17" s="147"/>
      <c r="Z17" s="147"/>
    </row>
    <row r="18" spans="1:26" x14ac:dyDescent="0.15">
      <c r="A18" s="41">
        <v>14</v>
      </c>
      <c r="B18" s="144">
        <f t="shared" si="12"/>
        <v>7.1992350400000002E-2</v>
      </c>
      <c r="C18" s="144">
        <f t="shared" si="13"/>
        <v>7.4771389800000004E-2</v>
      </c>
      <c r="D18" s="144">
        <f t="shared" si="14"/>
        <v>7.4849489699999994E-2</v>
      </c>
      <c r="E18" s="29">
        <f t="shared" si="15"/>
        <v>7.2019260799999998E-2</v>
      </c>
      <c r="F18" s="29">
        <f t="shared" si="16"/>
        <v>7.4932698000000006E-2</v>
      </c>
      <c r="G18" s="31">
        <f t="shared" si="17"/>
        <v>7.5014673099999998E-2</v>
      </c>
      <c r="H18" s="34">
        <f t="shared" si="0"/>
        <v>7.1844446899999997E-2</v>
      </c>
      <c r="I18" s="35">
        <f t="shared" si="1"/>
        <v>7.38876386E-2</v>
      </c>
      <c r="J18" s="36">
        <f t="shared" si="2"/>
        <v>7.3944680499999998E-2</v>
      </c>
      <c r="K18" s="34">
        <f t="shared" si="3"/>
        <v>7.1871325400000005E-2</v>
      </c>
      <c r="L18" s="35">
        <f t="shared" si="4"/>
        <v>7.4047886600000001E-2</v>
      </c>
      <c r="M18" s="36">
        <f t="shared" si="5"/>
        <v>7.4108725099999995E-2</v>
      </c>
      <c r="N18" s="38">
        <f t="shared" si="6"/>
        <v>7.1875626499999998E-2</v>
      </c>
      <c r="O18" s="39">
        <f t="shared" si="7"/>
        <v>7.4073544199999994E-2</v>
      </c>
      <c r="P18" s="40">
        <f t="shared" si="8"/>
        <v>7.4134991499999997E-2</v>
      </c>
      <c r="Q18" s="38">
        <f t="shared" si="9"/>
        <v>7.1902511700000005E-2</v>
      </c>
      <c r="R18" s="39">
        <f t="shared" si="10"/>
        <v>7.4234016099999994E-2</v>
      </c>
      <c r="S18" s="38">
        <f t="shared" si="11"/>
        <v>7.4299276600000005E-2</v>
      </c>
      <c r="V18" s="145"/>
      <c r="W18" s="147"/>
      <c r="X18" s="147"/>
      <c r="Y18" s="147"/>
      <c r="Z18" s="147"/>
    </row>
    <row r="19" spans="1:26" x14ac:dyDescent="0.15">
      <c r="A19" s="41">
        <v>15</v>
      </c>
      <c r="B19" s="144">
        <f t="shared" si="12"/>
        <v>6.7228037899999996E-2</v>
      </c>
      <c r="C19" s="144">
        <f t="shared" si="13"/>
        <v>7.0002777399999994E-2</v>
      </c>
      <c r="D19" s="144">
        <f t="shared" si="14"/>
        <v>7.0075896400000004E-2</v>
      </c>
      <c r="E19" s="29">
        <f t="shared" si="15"/>
        <v>6.7254838299999994E-2</v>
      </c>
      <c r="F19" s="29">
        <f t="shared" si="16"/>
        <v>7.0163929599999994E-2</v>
      </c>
      <c r="G19" s="31">
        <f t="shared" si="17"/>
        <v>7.0240687800000007E-2</v>
      </c>
      <c r="H19" s="34">
        <f t="shared" si="0"/>
        <v>6.7080747199999999E-2</v>
      </c>
      <c r="I19" s="35">
        <f t="shared" si="1"/>
        <v>6.9120148800000003E-2</v>
      </c>
      <c r="J19" s="36">
        <f t="shared" si="2"/>
        <v>6.9173510100000002E-2</v>
      </c>
      <c r="K19" s="34">
        <f t="shared" si="3"/>
        <v>6.7107513300000005E-2</v>
      </c>
      <c r="L19" s="35">
        <f t="shared" si="4"/>
        <v>6.9280159300000005E-2</v>
      </c>
      <c r="M19" s="36">
        <f t="shared" si="5"/>
        <v>6.9337080699999998E-2</v>
      </c>
      <c r="N19" s="38">
        <f t="shared" si="6"/>
        <v>6.7111796500000001E-2</v>
      </c>
      <c r="O19" s="39">
        <f t="shared" si="7"/>
        <v>6.9305780299999994E-2</v>
      </c>
      <c r="P19" s="40">
        <f t="shared" si="8"/>
        <v>6.9363272599999998E-2</v>
      </c>
      <c r="Q19" s="38">
        <f t="shared" si="9"/>
        <v>6.7138569800000006E-2</v>
      </c>
      <c r="R19" s="39">
        <f t="shared" si="10"/>
        <v>6.9466031999999997E-2</v>
      </c>
      <c r="S19" s="38">
        <f t="shared" si="11"/>
        <v>6.95271009E-2</v>
      </c>
      <c r="V19" s="145"/>
      <c r="W19" s="147"/>
      <c r="X19" s="147"/>
      <c r="Y19" s="147"/>
      <c r="Z19" s="147"/>
    </row>
    <row r="20" spans="1:26" x14ac:dyDescent="0.15">
      <c r="A20" s="41">
        <v>16</v>
      </c>
      <c r="B20" s="144">
        <f t="shared" si="12"/>
        <v>6.3059275999999997E-2</v>
      </c>
      <c r="C20" s="144">
        <f t="shared" si="13"/>
        <v>6.5830652899999995E-2</v>
      </c>
      <c r="D20" s="144">
        <f t="shared" si="14"/>
        <v>6.5899414099999998E-2</v>
      </c>
      <c r="E20" s="29">
        <f t="shared" si="15"/>
        <v>6.3085981099999994E-2</v>
      </c>
      <c r="F20" s="29">
        <f t="shared" si="16"/>
        <v>6.5991708499999996E-2</v>
      </c>
      <c r="G20" s="31">
        <f t="shared" si="17"/>
        <v>6.6063902399999999E-2</v>
      </c>
      <c r="H20" s="34">
        <f t="shared" si="0"/>
        <v>6.2912516099999996E-2</v>
      </c>
      <c r="I20" s="35">
        <f t="shared" si="1"/>
        <v>6.4948819599999999E-2</v>
      </c>
      <c r="J20" s="36">
        <f t="shared" si="2"/>
        <v>6.4998960699999997E-2</v>
      </c>
      <c r="K20" s="34">
        <f t="shared" si="3"/>
        <v>6.2939184800000006E-2</v>
      </c>
      <c r="L20" s="35">
        <f t="shared" si="4"/>
        <v>6.5108652200000006E-2</v>
      </c>
      <c r="M20" s="36">
        <f t="shared" si="5"/>
        <v>6.5162146200000007E-2</v>
      </c>
      <c r="N20" s="38">
        <f t="shared" si="6"/>
        <v>6.2943452400000002E-2</v>
      </c>
      <c r="O20" s="39">
        <f t="shared" si="7"/>
        <v>6.5134246100000001E-2</v>
      </c>
      <c r="P20" s="40">
        <f t="shared" si="8"/>
        <v>6.5188277899999994E-2</v>
      </c>
      <c r="Q20" s="38">
        <f t="shared" si="9"/>
        <v>6.2970128799999997E-2</v>
      </c>
      <c r="R20" s="39">
        <f t="shared" si="10"/>
        <v>6.5294337100000002E-2</v>
      </c>
      <c r="S20" s="38">
        <f t="shared" si="11"/>
        <v>6.5351738500000006E-2</v>
      </c>
      <c r="V20" s="145"/>
      <c r="W20" s="147"/>
      <c r="X20" s="147"/>
      <c r="Y20" s="147"/>
      <c r="Z20" s="147"/>
    </row>
    <row r="21" spans="1:26" x14ac:dyDescent="0.15">
      <c r="A21" s="41">
        <v>17</v>
      </c>
      <c r="B21" s="144">
        <f t="shared" si="12"/>
        <v>5.9380967399999998E-2</v>
      </c>
      <c r="C21" s="144">
        <f t="shared" si="13"/>
        <v>6.2149753600000003E-2</v>
      </c>
      <c r="D21" s="144">
        <f t="shared" si="14"/>
        <v>6.2214670100000001E-2</v>
      </c>
      <c r="E21" s="29">
        <f t="shared" si="15"/>
        <v>5.9407589599999998E-2</v>
      </c>
      <c r="F21" s="29">
        <f t="shared" si="16"/>
        <v>6.2310761700000002E-2</v>
      </c>
      <c r="G21" s="31">
        <f t="shared" si="17"/>
        <v>6.2378928700000003E-2</v>
      </c>
      <c r="H21" s="34">
        <f t="shared" ref="H21:H84" si="18">ROUND(J$2*(1+J$2)^$A21/((1+J$2)^$A21-1),10)</f>
        <v>5.9234671099999997E-2</v>
      </c>
      <c r="I21" s="35">
        <f t="shared" si="1"/>
        <v>6.1268446300000001E-2</v>
      </c>
      <c r="J21" s="36">
        <f t="shared" si="2"/>
        <v>6.1315746099999999E-2</v>
      </c>
      <c r="K21" s="34">
        <f t="shared" ref="K21:K84" si="19">ROUND(M$2*(1+M$2)^$A21/((1+M$2)^$A21-1),10)</f>
        <v>5.92612546E-2</v>
      </c>
      <c r="L21" s="35">
        <f t="shared" si="4"/>
        <v>6.1428150000000001E-2</v>
      </c>
      <c r="M21" s="36">
        <f t="shared" si="5"/>
        <v>6.1478619999999998E-2</v>
      </c>
      <c r="N21" s="38">
        <f t="shared" ref="N21:N84" si="20">ROUND(P$2*(1+P$2)^$A21/((1+P$2)^$A21-1),10)</f>
        <v>5.9265508600000003E-2</v>
      </c>
      <c r="O21" s="39">
        <f t="shared" si="7"/>
        <v>6.1453724600000002E-2</v>
      </c>
      <c r="P21" s="40">
        <f t="shared" si="8"/>
        <v>6.1504703199999997E-2</v>
      </c>
      <c r="Q21" s="38">
        <f t="shared" ref="Q21:Q84" si="21">ROUND(S$2*(1+S$2)^$A21/((1+S$2)^$A21-1),10)</f>
        <v>5.9292100200000003E-2</v>
      </c>
      <c r="R21" s="39">
        <f t="shared" si="10"/>
        <v>6.1613703800000003E-2</v>
      </c>
      <c r="S21" s="38">
        <f t="shared" si="11"/>
        <v>6.1667869600000001E-2</v>
      </c>
      <c r="V21" s="145"/>
      <c r="W21" s="147"/>
      <c r="X21" s="147"/>
      <c r="Y21" s="147"/>
      <c r="Z21" s="147"/>
    </row>
    <row r="22" spans="1:26" x14ac:dyDescent="0.15">
      <c r="A22" s="41">
        <v>18</v>
      </c>
      <c r="B22" s="144">
        <f t="shared" si="12"/>
        <v>5.6111370000000001E-2</v>
      </c>
      <c r="C22" s="144">
        <f t="shared" si="13"/>
        <v>5.8878208699999997E-2</v>
      </c>
      <c r="D22" s="144">
        <f t="shared" si="14"/>
        <v>5.8939708E-2</v>
      </c>
      <c r="E22" s="29">
        <f t="shared" si="15"/>
        <v>5.6137919500000001E-2</v>
      </c>
      <c r="F22" s="29">
        <f t="shared" si="16"/>
        <v>5.9039210100000003E-2</v>
      </c>
      <c r="G22" s="31">
        <f t="shared" si="17"/>
        <v>5.9103797999999999E-2</v>
      </c>
      <c r="H22" s="34">
        <f t="shared" si="18"/>
        <v>5.5965481099999999E-2</v>
      </c>
      <c r="I22" s="35">
        <f t="shared" si="1"/>
        <v>5.7997202800000001E-2</v>
      </c>
      <c r="J22" s="36">
        <f t="shared" si="2"/>
        <v>5.8041977199999997E-2</v>
      </c>
      <c r="K22" s="34">
        <f t="shared" si="19"/>
        <v>5.59919896E-2</v>
      </c>
      <c r="L22" s="35">
        <f t="shared" si="4"/>
        <v>5.8156818399999997E-2</v>
      </c>
      <c r="M22" s="36">
        <f t="shared" si="5"/>
        <v>5.8204600699999998E-2</v>
      </c>
      <c r="N22" s="38">
        <f t="shared" si="20"/>
        <v>5.5996231600000002E-2</v>
      </c>
      <c r="O22" s="39">
        <f t="shared" si="7"/>
        <v>5.8182380300000003E-2</v>
      </c>
      <c r="P22" s="40">
        <f t="shared" si="8"/>
        <v>5.82306452E-2</v>
      </c>
      <c r="Q22" s="38">
        <f t="shared" si="21"/>
        <v>5.60227487E-2</v>
      </c>
      <c r="R22" s="39">
        <f t="shared" si="10"/>
        <v>5.83422886E-2</v>
      </c>
      <c r="S22" s="38">
        <f t="shared" si="11"/>
        <v>5.83935784E-2</v>
      </c>
      <c r="V22" s="145"/>
      <c r="W22" s="147"/>
      <c r="X22" s="147"/>
      <c r="Y22" s="147"/>
      <c r="Z22" s="147"/>
    </row>
    <row r="23" spans="1:26" x14ac:dyDescent="0.15">
      <c r="A23" s="41">
        <v>19</v>
      </c>
      <c r="B23" s="144">
        <f t="shared" si="12"/>
        <v>5.3185950400000001E-2</v>
      </c>
      <c r="C23" s="144">
        <f t="shared" si="13"/>
        <v>5.5951383299999997E-2</v>
      </c>
      <c r="D23" s="144">
        <f t="shared" si="14"/>
        <v>5.6009825399999998E-2</v>
      </c>
      <c r="E23" s="29">
        <f t="shared" si="15"/>
        <v>5.3212435799999999E-2</v>
      </c>
      <c r="F23" s="29">
        <f t="shared" si="16"/>
        <v>5.6112412200000003E-2</v>
      </c>
      <c r="G23" s="31">
        <f t="shared" si="17"/>
        <v>5.61737982E-2</v>
      </c>
      <c r="H23" s="34">
        <f t="shared" si="18"/>
        <v>5.30404217E-2</v>
      </c>
      <c r="I23" s="35">
        <f t="shared" si="1"/>
        <v>5.5070489700000003E-2</v>
      </c>
      <c r="J23" s="36">
        <f t="shared" si="2"/>
        <v>5.5113004600000001E-2</v>
      </c>
      <c r="K23" s="34">
        <f t="shared" si="19"/>
        <v>5.3066863700000001E-2</v>
      </c>
      <c r="L23" s="35">
        <f t="shared" si="4"/>
        <v>5.5230051500000002E-2</v>
      </c>
      <c r="M23" s="36">
        <f t="shared" si="5"/>
        <v>5.5275429100000002E-2</v>
      </c>
      <c r="N23" s="38">
        <f t="shared" si="20"/>
        <v>5.3071095200000001E-2</v>
      </c>
      <c r="O23" s="39">
        <f t="shared" si="7"/>
        <v>5.5255606200000001E-2</v>
      </c>
      <c r="P23" s="40">
        <f t="shared" si="8"/>
        <v>5.5301443200000001E-2</v>
      </c>
      <c r="Q23" s="38">
        <f t="shared" si="21"/>
        <v>5.3097546299999999E-2</v>
      </c>
      <c r="R23" s="39">
        <f t="shared" si="10"/>
        <v>5.5415477900000003E-2</v>
      </c>
      <c r="S23" s="38">
        <f t="shared" si="11"/>
        <v>5.5464194699999997E-2</v>
      </c>
      <c r="V23" s="145"/>
      <c r="W23" s="147"/>
      <c r="X23" s="147"/>
      <c r="Y23" s="147"/>
      <c r="Z23" s="147"/>
    </row>
    <row r="24" spans="1:26" x14ac:dyDescent="0.15">
      <c r="A24" s="41">
        <v>20</v>
      </c>
      <c r="B24" s="144">
        <f t="shared" si="12"/>
        <v>5.0553081899999998E-2</v>
      </c>
      <c r="C24" s="144">
        <f t="shared" si="13"/>
        <v>5.3317569199999998E-2</v>
      </c>
      <c r="D24" s="144">
        <f t="shared" si="14"/>
        <v>5.3373260300000003E-2</v>
      </c>
      <c r="E24" s="29">
        <f t="shared" si="15"/>
        <v>5.0579510500000001E-2</v>
      </c>
      <c r="F24" s="29">
        <f t="shared" si="16"/>
        <v>5.3478655E-2</v>
      </c>
      <c r="G24" s="31">
        <f t="shared" si="17"/>
        <v>5.3537159700000003E-2</v>
      </c>
      <c r="H24" s="34">
        <f t="shared" si="18"/>
        <v>5.04078731E-2</v>
      </c>
      <c r="I24" s="35">
        <f t="shared" si="1"/>
        <v>5.2436627399999998E-2</v>
      </c>
      <c r="J24" s="36">
        <f t="shared" si="2"/>
        <v>5.24771089E-2</v>
      </c>
      <c r="K24" s="34">
        <f t="shared" si="19"/>
        <v>5.0434256099999998E-2</v>
      </c>
      <c r="L24" s="35">
        <f t="shared" si="4"/>
        <v>5.2596164700000003E-2</v>
      </c>
      <c r="M24" s="36">
        <f t="shared" si="5"/>
        <v>5.2639378299999998E-2</v>
      </c>
      <c r="N24" s="38">
        <f t="shared" si="20"/>
        <v>5.0438478100000003E-2</v>
      </c>
      <c r="O24" s="39">
        <f t="shared" si="7"/>
        <v>5.2621716899999997E-2</v>
      </c>
      <c r="P24" s="40">
        <f t="shared" si="8"/>
        <v>5.2665368900000002E-2</v>
      </c>
      <c r="Q24" s="38">
        <f t="shared" si="21"/>
        <v>5.0464870699999997E-2</v>
      </c>
      <c r="R24" s="39">
        <f t="shared" si="10"/>
        <v>5.2781581299999998E-2</v>
      </c>
      <c r="S24" s="38">
        <f t="shared" si="11"/>
        <v>5.2827982500000002E-2</v>
      </c>
      <c r="V24" s="145"/>
      <c r="W24" s="147"/>
      <c r="X24" s="147"/>
      <c r="Y24" s="147"/>
      <c r="Z24" s="147"/>
    </row>
    <row r="25" spans="1:26" x14ac:dyDescent="0.15">
      <c r="A25" s="41">
        <v>21</v>
      </c>
      <c r="B25" s="144">
        <f t="shared" si="12"/>
        <v>4.8170971600000001E-2</v>
      </c>
      <c r="C25" s="144">
        <f t="shared" si="13"/>
        <v>5.0934907799999998E-2</v>
      </c>
      <c r="D25" s="144">
        <f t="shared" si="14"/>
        <v>5.0988110199999999E-2</v>
      </c>
      <c r="E25" s="29">
        <f t="shared" si="15"/>
        <v>4.8197349600000002E-2</v>
      </c>
      <c r="F25" s="29">
        <f t="shared" si="16"/>
        <v>5.1096075300000002E-2</v>
      </c>
      <c r="G25" s="31">
        <f t="shared" si="17"/>
        <v>5.1151973599999997E-2</v>
      </c>
      <c r="H25" s="34">
        <f t="shared" si="18"/>
        <v>4.8026048299999999E-2</v>
      </c>
      <c r="I25" s="35">
        <f t="shared" si="1"/>
        <v>5.00537801E-2</v>
      </c>
      <c r="J25" s="36">
        <f t="shared" si="2"/>
        <v>5.0092421999999998E-2</v>
      </c>
      <c r="K25" s="34">
        <f t="shared" si="19"/>
        <v>4.8052378399999998E-2</v>
      </c>
      <c r="L25" s="35">
        <f t="shared" si="4"/>
        <v>5.0213317899999999E-2</v>
      </c>
      <c r="M25" s="36">
        <f t="shared" si="5"/>
        <v>5.0254573699999999E-2</v>
      </c>
      <c r="N25" s="38">
        <f t="shared" si="20"/>
        <v>4.8056592000000002E-2</v>
      </c>
      <c r="O25" s="39">
        <f t="shared" si="7"/>
        <v>5.0238871499999997E-2</v>
      </c>
      <c r="P25" s="40">
        <f t="shared" si="8"/>
        <v>5.02805469E-2</v>
      </c>
      <c r="Q25" s="38">
        <f t="shared" si="21"/>
        <v>4.8082932199999998E-2</v>
      </c>
      <c r="R25" s="39">
        <f t="shared" si="10"/>
        <v>5.0398753599999999E-2</v>
      </c>
      <c r="S25" s="38">
        <f t="shared" si="11"/>
        <v>5.0443060099999999E-2</v>
      </c>
      <c r="V25" s="145"/>
      <c r="W25" s="147"/>
      <c r="X25" s="147"/>
      <c r="Y25" s="147"/>
      <c r="Z25" s="147"/>
    </row>
    <row r="26" spans="1:26" x14ac:dyDescent="0.15">
      <c r="A26" s="41">
        <v>22</v>
      </c>
      <c r="B26" s="144">
        <f t="shared" si="12"/>
        <v>4.6005425099999997E-2</v>
      </c>
      <c r="C26" s="144">
        <f t="shared" si="13"/>
        <v>4.8769150900000002E-2</v>
      </c>
      <c r="D26" s="144">
        <f t="shared" si="14"/>
        <v>4.8820091099999997E-2</v>
      </c>
      <c r="E26" s="29">
        <f t="shared" si="15"/>
        <v>4.6031757999999999E-2</v>
      </c>
      <c r="F26" s="29">
        <f t="shared" si="16"/>
        <v>4.8930421799999999E-2</v>
      </c>
      <c r="G26" s="31">
        <f t="shared" si="17"/>
        <v>4.8983950800000002E-2</v>
      </c>
      <c r="H26" s="34">
        <f t="shared" si="18"/>
        <v>4.5860757500000002E-2</v>
      </c>
      <c r="I26" s="35">
        <f t="shared" si="1"/>
        <v>4.78877183E-2</v>
      </c>
      <c r="J26" s="36">
        <f t="shared" si="2"/>
        <v>4.7924688100000001E-2</v>
      </c>
      <c r="K26" s="34">
        <f t="shared" si="19"/>
        <v>4.58870402E-2</v>
      </c>
      <c r="L26" s="35">
        <f t="shared" si="4"/>
        <v>4.8047278300000003E-2</v>
      </c>
      <c r="M26" s="36">
        <f t="shared" si="5"/>
        <v>4.8086754500000002E-2</v>
      </c>
      <c r="N26" s="38">
        <f t="shared" si="20"/>
        <v>4.5891246199999999E-2</v>
      </c>
      <c r="O26" s="39">
        <f t="shared" si="7"/>
        <v>4.8072836899999999E-2</v>
      </c>
      <c r="P26" s="40">
        <f t="shared" si="8"/>
        <v>4.8112715399999999E-2</v>
      </c>
      <c r="Q26" s="38">
        <f t="shared" si="21"/>
        <v>4.59175395E-2</v>
      </c>
      <c r="R26" s="39">
        <f t="shared" si="10"/>
        <v>4.8232758299999998E-2</v>
      </c>
      <c r="S26" s="38">
        <f t="shared" si="11"/>
        <v>4.8275160599999999E-2</v>
      </c>
      <c r="V26" s="145"/>
      <c r="W26" s="147"/>
      <c r="X26" s="147"/>
      <c r="Y26" s="147"/>
      <c r="Z26" s="147"/>
    </row>
    <row r="27" spans="1:26" x14ac:dyDescent="0.15">
      <c r="A27" s="41">
        <v>23</v>
      </c>
      <c r="B27" s="144">
        <f t="shared" si="12"/>
        <v>4.4028194999999999E-2</v>
      </c>
      <c r="C27" s="144">
        <f t="shared" si="13"/>
        <v>4.6792006499999997E-2</v>
      </c>
      <c r="D27" s="144">
        <f t="shared" si="14"/>
        <v>4.6840881600000002E-2</v>
      </c>
      <c r="E27" s="29">
        <f t="shared" si="15"/>
        <v>4.4054487400000002E-2</v>
      </c>
      <c r="F27" s="29">
        <f t="shared" si="16"/>
        <v>4.6953399600000001E-2</v>
      </c>
      <c r="G27" s="31">
        <f t="shared" si="17"/>
        <v>4.7004765800000001E-2</v>
      </c>
      <c r="H27" s="34">
        <f t="shared" si="18"/>
        <v>4.3883757299999999E-2</v>
      </c>
      <c r="I27" s="35">
        <f t="shared" si="1"/>
        <v>4.5910165900000001E-2</v>
      </c>
      <c r="J27" s="36">
        <f t="shared" si="2"/>
        <v>4.5945608899999997E-2</v>
      </c>
      <c r="K27" s="34">
        <f t="shared" si="19"/>
        <v>4.3909997200000002E-2</v>
      </c>
      <c r="L27" s="35">
        <f t="shared" si="4"/>
        <v>4.6069766800000002E-2</v>
      </c>
      <c r="M27" s="36">
        <f t="shared" si="5"/>
        <v>4.6107618199999999E-2</v>
      </c>
      <c r="N27" s="38">
        <f t="shared" si="20"/>
        <v>4.3914196400000001E-2</v>
      </c>
      <c r="O27" s="39">
        <f t="shared" si="7"/>
        <v>4.6095333199999998E-2</v>
      </c>
      <c r="P27" s="40">
        <f t="shared" si="8"/>
        <v>4.6133571399999997E-2</v>
      </c>
      <c r="Q27" s="38">
        <f t="shared" si="21"/>
        <v>4.3940447399999999E-2</v>
      </c>
      <c r="R27" s="39">
        <f t="shared" si="10"/>
        <v>4.6255312799999997E-2</v>
      </c>
      <c r="S27" s="38">
        <f t="shared" si="11"/>
        <v>4.6295976699999998E-2</v>
      </c>
      <c r="V27" s="145"/>
      <c r="W27" s="147"/>
      <c r="X27" s="147"/>
      <c r="Y27" s="147"/>
      <c r="Z27" s="147"/>
    </row>
    <row r="28" spans="1:26" x14ac:dyDescent="0.15">
      <c r="A28" s="41">
        <v>24</v>
      </c>
      <c r="B28" s="144">
        <f t="shared" si="12"/>
        <v>4.2215741699999997E-2</v>
      </c>
      <c r="C28" s="144">
        <f t="shared" si="13"/>
        <v>4.4979898099999999E-2</v>
      </c>
      <c r="D28" s="144">
        <f t="shared" si="14"/>
        <v>4.5026880300000002E-2</v>
      </c>
      <c r="E28" s="29">
        <f t="shared" si="15"/>
        <v>4.22419978E-2</v>
      </c>
      <c r="F28" s="29">
        <f t="shared" si="16"/>
        <v>4.5141429699999999E-2</v>
      </c>
      <c r="G28" s="31">
        <f t="shared" si="17"/>
        <v>4.5190813599999997E-2</v>
      </c>
      <c r="H28" s="34">
        <f t="shared" si="18"/>
        <v>4.2071511200000002E-2</v>
      </c>
      <c r="I28" s="35">
        <f t="shared" si="1"/>
        <v>4.40975589E-2</v>
      </c>
      <c r="J28" s="36">
        <f t="shared" si="2"/>
        <v>4.41316026E-2</v>
      </c>
      <c r="K28" s="34">
        <f t="shared" si="19"/>
        <v>4.2097712500000002E-2</v>
      </c>
      <c r="L28" s="35">
        <f t="shared" si="4"/>
        <v>4.4257217299999999E-2</v>
      </c>
      <c r="M28" s="36">
        <f t="shared" si="5"/>
        <v>4.4293579499999999E-2</v>
      </c>
      <c r="N28" s="38">
        <f t="shared" si="20"/>
        <v>4.2101905600000003E-2</v>
      </c>
      <c r="O28" s="39">
        <f t="shared" si="7"/>
        <v>4.4282794299999997E-2</v>
      </c>
      <c r="P28" s="40">
        <f t="shared" si="8"/>
        <v>4.4319528800000001E-2</v>
      </c>
      <c r="Q28" s="38">
        <f t="shared" si="21"/>
        <v>4.2128118499999999E-2</v>
      </c>
      <c r="R28" s="39">
        <f t="shared" si="10"/>
        <v>4.4442848299999997E-2</v>
      </c>
      <c r="S28" s="38">
        <f t="shared" si="11"/>
        <v>4.44819189E-2</v>
      </c>
      <c r="V28" s="145"/>
      <c r="W28" s="147"/>
      <c r="X28" s="147"/>
      <c r="Y28" s="147"/>
      <c r="Z28" s="147"/>
    </row>
    <row r="29" spans="1:26" x14ac:dyDescent="0.15">
      <c r="A29" s="41">
        <v>25</v>
      </c>
      <c r="B29" s="144">
        <f t="shared" si="12"/>
        <v>4.0548292E-2</v>
      </c>
      <c r="C29" s="144">
        <f t="shared" si="13"/>
        <v>4.3313021200000003E-2</v>
      </c>
      <c r="D29" s="144">
        <f t="shared" si="14"/>
        <v>4.33582624E-2</v>
      </c>
      <c r="E29" s="29">
        <f t="shared" si="15"/>
        <v>4.0574515399999997E-2</v>
      </c>
      <c r="F29" s="29">
        <f t="shared" si="16"/>
        <v>4.3474705799999999E-2</v>
      </c>
      <c r="G29" s="31">
        <f t="shared" si="17"/>
        <v>4.3522266400000002E-2</v>
      </c>
      <c r="H29" s="34">
        <f t="shared" si="18"/>
        <v>4.0404248800000001E-2</v>
      </c>
      <c r="I29" s="35">
        <f t="shared" si="1"/>
        <v>4.2430104099999998E-2</v>
      </c>
      <c r="J29" s="36">
        <f t="shared" si="2"/>
        <v>4.2462860499999998E-2</v>
      </c>
      <c r="K29" s="34">
        <f t="shared" si="19"/>
        <v>4.0430415099999999E-2</v>
      </c>
      <c r="L29" s="35">
        <f t="shared" si="4"/>
        <v>4.2589834299999997E-2</v>
      </c>
      <c r="M29" s="36">
        <f t="shared" si="5"/>
        <v>4.2624826499999997E-2</v>
      </c>
      <c r="N29" s="38">
        <f t="shared" si="20"/>
        <v>4.0434602700000002E-2</v>
      </c>
      <c r="O29" s="39">
        <f t="shared" si="7"/>
        <v>4.26154241E-2</v>
      </c>
      <c r="P29" s="40">
        <f t="shared" si="8"/>
        <v>4.2650775600000003E-2</v>
      </c>
      <c r="Q29" s="38">
        <f t="shared" si="21"/>
        <v>4.0460781000000001E-2</v>
      </c>
      <c r="R29" s="39">
        <f t="shared" si="10"/>
        <v>4.2775567200000003E-2</v>
      </c>
      <c r="S29" s="38">
        <f t="shared" si="11"/>
        <v>4.2813171999999997E-2</v>
      </c>
      <c r="V29" s="145"/>
      <c r="W29" s="147"/>
      <c r="X29" s="147"/>
      <c r="Y29" s="147"/>
      <c r="Z29" s="147"/>
    </row>
    <row r="30" spans="1:26" x14ac:dyDescent="0.15">
      <c r="A30" s="41">
        <v>26</v>
      </c>
      <c r="B30" s="144">
        <f t="shared" si="12"/>
        <v>3.90091147E-2</v>
      </c>
      <c r="C30" s="144">
        <f t="shared" si="13"/>
        <v>4.1774618399999998E-2</v>
      </c>
      <c r="D30" s="144">
        <f t="shared" si="14"/>
        <v>4.1818252700000003E-2</v>
      </c>
      <c r="E30" s="29">
        <f t="shared" si="15"/>
        <v>3.9035308599999999E-2</v>
      </c>
      <c r="F30" s="29">
        <f t="shared" si="16"/>
        <v>4.19364687E-2</v>
      </c>
      <c r="G30" s="31">
        <f t="shared" si="17"/>
        <v>4.1982346500000003E-2</v>
      </c>
      <c r="H30" s="34">
        <f t="shared" si="18"/>
        <v>3.8865241199999997E-2</v>
      </c>
      <c r="I30" s="35">
        <f t="shared" si="1"/>
        <v>4.0891052999999997E-2</v>
      </c>
      <c r="J30" s="36">
        <f t="shared" si="2"/>
        <v>4.0922621200000002E-2</v>
      </c>
      <c r="K30" s="34">
        <f t="shared" si="19"/>
        <v>3.8891375700000001E-2</v>
      </c>
      <c r="L30" s="35">
        <f t="shared" si="4"/>
        <v>4.1050867800000002E-2</v>
      </c>
      <c r="M30" s="36">
        <f t="shared" si="5"/>
        <v>4.1084595699999997E-2</v>
      </c>
      <c r="N30" s="38">
        <f t="shared" si="20"/>
        <v>3.8895558300000001E-2</v>
      </c>
      <c r="O30" s="39">
        <f t="shared" si="7"/>
        <v>4.1076472599999997E-2</v>
      </c>
      <c r="P30" s="40">
        <f t="shared" si="8"/>
        <v>4.1110547400000003E-2</v>
      </c>
      <c r="Q30" s="38">
        <f t="shared" si="21"/>
        <v>3.8921705299999998E-2</v>
      </c>
      <c r="R30" s="39">
        <f t="shared" si="10"/>
        <v>4.1236717499999999E-2</v>
      </c>
      <c r="S30" s="38">
        <f t="shared" si="11"/>
        <v>4.1272969499999999E-2</v>
      </c>
      <c r="W30" s="147"/>
      <c r="X30" s="147"/>
      <c r="Y30" s="147"/>
      <c r="Z30" s="147"/>
    </row>
    <row r="31" spans="1:26" x14ac:dyDescent="0.15">
      <c r="A31" s="41">
        <v>27</v>
      </c>
      <c r="B31" s="144">
        <f t="shared" si="12"/>
        <v>3.75839574E-2</v>
      </c>
      <c r="C31" s="144">
        <f t="shared" si="13"/>
        <v>4.0350414699999997E-2</v>
      </c>
      <c r="D31" s="144">
        <f t="shared" si="14"/>
        <v>4.0392561299999998E-2</v>
      </c>
      <c r="E31" s="29">
        <f t="shared" si="15"/>
        <v>3.7610124600000003E-2</v>
      </c>
      <c r="F31" s="29">
        <f t="shared" si="16"/>
        <v>4.0512442000000003E-2</v>
      </c>
      <c r="G31" s="31">
        <f t="shared" si="17"/>
        <v>4.0556761900000002E-2</v>
      </c>
      <c r="H31" s="34">
        <f t="shared" si="18"/>
        <v>3.7440237899999999E-2</v>
      </c>
      <c r="I31" s="35">
        <f t="shared" si="1"/>
        <v>3.9466138499999998E-2</v>
      </c>
      <c r="J31" s="36">
        <f t="shared" si="2"/>
        <v>3.9496606699999999E-2</v>
      </c>
      <c r="K31" s="34">
        <f t="shared" si="19"/>
        <v>3.7466343499999999E-2</v>
      </c>
      <c r="L31" s="35">
        <f t="shared" si="4"/>
        <v>3.9626049400000002E-2</v>
      </c>
      <c r="M31" s="36">
        <f t="shared" si="5"/>
        <v>3.96586066E-2</v>
      </c>
      <c r="N31" s="38">
        <f t="shared" si="20"/>
        <v>3.7470521399999998E-2</v>
      </c>
      <c r="O31" s="39">
        <f t="shared" si="7"/>
        <v>3.9651670899999998E-2</v>
      </c>
      <c r="P31" s="40">
        <f t="shared" si="8"/>
        <v>3.9684563800000003E-2</v>
      </c>
      <c r="Q31" s="38">
        <f t="shared" si="21"/>
        <v>3.7496639999999998E-2</v>
      </c>
      <c r="R31" s="39">
        <f t="shared" si="10"/>
        <v>3.9812028999999999E-2</v>
      </c>
      <c r="S31" s="38">
        <f t="shared" si="11"/>
        <v>3.9847028499999999E-2</v>
      </c>
      <c r="W31" s="147"/>
      <c r="X31" s="147"/>
      <c r="Y31" s="147"/>
      <c r="Z31" s="147"/>
    </row>
    <row r="32" spans="1:26" x14ac:dyDescent="0.15">
      <c r="A32" s="41">
        <v>28</v>
      </c>
      <c r="B32" s="144">
        <f t="shared" si="12"/>
        <v>3.6260603500000002E-2</v>
      </c>
      <c r="C32" s="144">
        <f t="shared" si="13"/>
        <v>3.9028174399999997E-2</v>
      </c>
      <c r="D32" s="144">
        <f t="shared" si="14"/>
        <v>3.9068939900000002E-2</v>
      </c>
      <c r="E32" s="29">
        <f t="shared" si="15"/>
        <v>3.6286746699999997E-2</v>
      </c>
      <c r="F32" s="29">
        <f t="shared" si="16"/>
        <v>3.9190388800000003E-2</v>
      </c>
      <c r="G32" s="31">
        <f t="shared" si="17"/>
        <v>3.9233262499999998E-2</v>
      </c>
      <c r="H32" s="34">
        <f t="shared" si="18"/>
        <v>3.6117024099999999E-2</v>
      </c>
      <c r="I32" s="35">
        <f t="shared" si="1"/>
        <v>3.8143131800000001E-2</v>
      </c>
      <c r="J32" s="36">
        <f t="shared" si="2"/>
        <v>3.81725786E-2</v>
      </c>
      <c r="K32" s="34">
        <f t="shared" si="19"/>
        <v>3.61431033E-2</v>
      </c>
      <c r="L32" s="35">
        <f t="shared" si="4"/>
        <v>3.8303148799999999E-2</v>
      </c>
      <c r="M32" s="36">
        <f t="shared" si="5"/>
        <v>3.8334619100000002E-2</v>
      </c>
      <c r="N32" s="38">
        <f t="shared" si="20"/>
        <v>3.6147276999999998E-2</v>
      </c>
      <c r="O32" s="39">
        <f t="shared" si="7"/>
        <v>3.8328788699999998E-2</v>
      </c>
      <c r="P32" s="40">
        <f t="shared" si="8"/>
        <v>3.8360584199999999E-2</v>
      </c>
      <c r="Q32" s="38">
        <f t="shared" si="21"/>
        <v>3.6173369699999999E-2</v>
      </c>
      <c r="R32" s="39">
        <f t="shared" si="10"/>
        <v>3.84892701E-2</v>
      </c>
      <c r="S32" s="38">
        <f t="shared" si="11"/>
        <v>3.8523106699999997E-2</v>
      </c>
      <c r="W32" s="147"/>
      <c r="X32" s="147"/>
      <c r="Y32" s="147"/>
      <c r="Z32" s="147"/>
    </row>
    <row r="33" spans="1:26" x14ac:dyDescent="0.15">
      <c r="A33" s="41">
        <v>29</v>
      </c>
      <c r="B33" s="144">
        <f t="shared" si="12"/>
        <v>3.5028521799999997E-2</v>
      </c>
      <c r="C33" s="144">
        <f t="shared" si="13"/>
        <v>3.7797349500000001E-2</v>
      </c>
      <c r="D33" s="144">
        <f t="shared" si="14"/>
        <v>3.7836829400000001E-2</v>
      </c>
      <c r="E33" s="29">
        <f t="shared" si="15"/>
        <v>3.5054643199999999E-2</v>
      </c>
      <c r="F33" s="29">
        <f t="shared" si="16"/>
        <v>3.7959760199999998E-2</v>
      </c>
      <c r="G33" s="31">
        <f t="shared" si="17"/>
        <v>3.8001287500000001E-2</v>
      </c>
      <c r="H33" s="34">
        <f t="shared" si="18"/>
        <v>3.4885069900000003E-2</v>
      </c>
      <c r="I33" s="35">
        <f t="shared" si="1"/>
        <v>3.6911490599999999E-2</v>
      </c>
      <c r="J33" s="36">
        <f t="shared" si="2"/>
        <v>3.6939986600000002E-2</v>
      </c>
      <c r="K33" s="34">
        <f t="shared" si="19"/>
        <v>3.4911125000000001E-2</v>
      </c>
      <c r="L33" s="35">
        <f t="shared" si="4"/>
        <v>3.7071622899999997E-2</v>
      </c>
      <c r="M33" s="36">
        <f t="shared" si="5"/>
        <v>3.7102081299999999E-2</v>
      </c>
      <c r="N33" s="38">
        <f t="shared" si="20"/>
        <v>3.4915294899999998E-2</v>
      </c>
      <c r="O33" s="39">
        <f t="shared" si="7"/>
        <v>3.7097282600000003E-2</v>
      </c>
      <c r="P33" s="40">
        <f t="shared" si="8"/>
        <v>3.7128056399999998E-2</v>
      </c>
      <c r="Q33" s="38">
        <f t="shared" si="21"/>
        <v>3.4941363900000001E-2</v>
      </c>
      <c r="R33" s="39">
        <f t="shared" si="10"/>
        <v>3.7257896300000003E-2</v>
      </c>
      <c r="S33" s="38">
        <f t="shared" si="11"/>
        <v>3.72906504E-2</v>
      </c>
      <c r="W33" s="147"/>
      <c r="X33" s="147"/>
      <c r="Y33" s="147"/>
      <c r="Z33" s="147"/>
    </row>
    <row r="34" spans="1:26" x14ac:dyDescent="0.15">
      <c r="A34" s="41">
        <v>30</v>
      </c>
      <c r="B34" s="144">
        <f t="shared" si="12"/>
        <v>3.3878585000000003E-2</v>
      </c>
      <c r="C34" s="144">
        <f t="shared" si="13"/>
        <v>3.6648798400000002E-2</v>
      </c>
      <c r="D34" s="144">
        <f t="shared" si="14"/>
        <v>3.66870787E-2</v>
      </c>
      <c r="E34" s="29">
        <f t="shared" si="15"/>
        <v>3.3904686599999997E-2</v>
      </c>
      <c r="F34" s="29">
        <f t="shared" si="16"/>
        <v>3.6811413500000001E-2</v>
      </c>
      <c r="G34" s="31">
        <f t="shared" si="17"/>
        <v>3.6851684500000002E-2</v>
      </c>
      <c r="H34" s="34">
        <f t="shared" si="18"/>
        <v>3.3735249299999999E-2</v>
      </c>
      <c r="I34" s="35">
        <f t="shared" si="1"/>
        <v>3.57620783E-2</v>
      </c>
      <c r="J34" s="36">
        <f t="shared" si="2"/>
        <v>3.5789687000000001E-2</v>
      </c>
      <c r="K34" s="34">
        <f t="shared" si="19"/>
        <v>3.3761282300000001E-2</v>
      </c>
      <c r="L34" s="35">
        <f t="shared" si="4"/>
        <v>3.5922334100000002E-2</v>
      </c>
      <c r="M34" s="36">
        <f t="shared" si="5"/>
        <v>3.5951848199999997E-2</v>
      </c>
      <c r="N34" s="38">
        <f t="shared" si="20"/>
        <v>3.3765448699999999E-2</v>
      </c>
      <c r="O34" s="39">
        <f t="shared" si="7"/>
        <v>3.5948014899999998E-2</v>
      </c>
      <c r="P34" s="40">
        <f t="shared" si="8"/>
        <v>3.5977835399999998E-2</v>
      </c>
      <c r="Q34" s="38">
        <f t="shared" si="21"/>
        <v>3.37914962E-2</v>
      </c>
      <c r="R34" s="39">
        <f t="shared" si="10"/>
        <v>3.6108769200000002E-2</v>
      </c>
      <c r="S34" s="38">
        <f t="shared" si="11"/>
        <v>3.61405131E-2</v>
      </c>
      <c r="W34" s="147"/>
      <c r="X34" s="147"/>
      <c r="Y34" s="147"/>
      <c r="Z34" s="147"/>
    </row>
    <row r="35" spans="1:26" x14ac:dyDescent="0.15">
      <c r="A35" s="41">
        <v>31</v>
      </c>
      <c r="B35" s="144">
        <f t="shared" si="12"/>
        <v>3.2802843599999999E-2</v>
      </c>
      <c r="C35" s="144">
        <f t="shared" si="13"/>
        <v>3.5574559200000001E-2</v>
      </c>
      <c r="D35" s="144">
        <f t="shared" si="14"/>
        <v>3.5611717399999999E-2</v>
      </c>
      <c r="E35" s="29">
        <f t="shared" si="15"/>
        <v>3.2828927299999998E-2</v>
      </c>
      <c r="F35" s="29">
        <f t="shared" si="16"/>
        <v>3.5737385900000002E-2</v>
      </c>
      <c r="G35" s="31">
        <f t="shared" si="17"/>
        <v>3.5776481999999998E-2</v>
      </c>
      <c r="H35" s="34">
        <f t="shared" si="18"/>
        <v>3.2659613900000002E-2</v>
      </c>
      <c r="I35" s="35">
        <f t="shared" si="1"/>
        <v>3.4686937399999999E-2</v>
      </c>
      <c r="J35" s="36">
        <f t="shared" si="2"/>
        <v>3.4713715999999999E-2</v>
      </c>
      <c r="K35" s="34">
        <f t="shared" si="19"/>
        <v>3.2685626699999998E-2</v>
      </c>
      <c r="L35" s="35">
        <f t="shared" si="4"/>
        <v>3.4847323899999998E-2</v>
      </c>
      <c r="M35" s="36">
        <f t="shared" si="5"/>
        <v>3.4875954899999999E-2</v>
      </c>
      <c r="N35" s="38">
        <f t="shared" si="20"/>
        <v>3.2689789900000002E-2</v>
      </c>
      <c r="O35" s="39">
        <f t="shared" si="7"/>
        <v>3.4873027000000001E-2</v>
      </c>
      <c r="P35" s="40">
        <f t="shared" si="8"/>
        <v>3.4901955800000002E-2</v>
      </c>
      <c r="Q35" s="38">
        <f t="shared" si="21"/>
        <v>3.2715817600000002E-2</v>
      </c>
      <c r="R35" s="39">
        <f t="shared" si="10"/>
        <v>3.5033929200000001E-2</v>
      </c>
      <c r="S35" s="38">
        <f t="shared" si="11"/>
        <v>3.5064728199999999E-2</v>
      </c>
      <c r="W35" s="147"/>
      <c r="X35" s="147"/>
      <c r="Y35" s="147"/>
      <c r="Z35" s="147"/>
    </row>
    <row r="36" spans="1:26" x14ac:dyDescent="0.15">
      <c r="A36" s="41">
        <v>32</v>
      </c>
      <c r="B36" s="144">
        <f t="shared" si="12"/>
        <v>3.1794341800000001E-2</v>
      </c>
      <c r="C36" s="144">
        <f t="shared" si="13"/>
        <v>3.4567664999999997E-2</v>
      </c>
      <c r="D36" s="144">
        <f t="shared" si="14"/>
        <v>3.4603771499999998E-2</v>
      </c>
      <c r="E36" s="29">
        <f t="shared" si="15"/>
        <v>3.1820409199999997E-2</v>
      </c>
      <c r="F36" s="29">
        <f t="shared" si="16"/>
        <v>3.4730710099999999E-2</v>
      </c>
      <c r="G36" s="31">
        <f t="shared" si="17"/>
        <v>3.4768704900000003E-2</v>
      </c>
      <c r="H36" s="34">
        <f t="shared" si="18"/>
        <v>3.1651208799999997E-2</v>
      </c>
      <c r="I36" s="35">
        <f t="shared" si="1"/>
        <v>3.3679104799999998E-2</v>
      </c>
      <c r="J36" s="36">
        <f t="shared" si="2"/>
        <v>3.3705105300000003E-2</v>
      </c>
      <c r="K36" s="34">
        <f t="shared" si="19"/>
        <v>3.1677203100000002E-2</v>
      </c>
      <c r="L36" s="35">
        <f t="shared" si="4"/>
        <v>3.38396288E-2</v>
      </c>
      <c r="M36" s="36">
        <f t="shared" si="5"/>
        <v>3.38674318E-2</v>
      </c>
      <c r="N36" s="38">
        <f t="shared" si="20"/>
        <v>3.1681363400000002E-2</v>
      </c>
      <c r="O36" s="39">
        <f t="shared" si="7"/>
        <v>3.3865355299999997E-2</v>
      </c>
      <c r="P36" s="40">
        <f t="shared" si="8"/>
        <v>3.3893448100000001E-2</v>
      </c>
      <c r="Q36" s="38">
        <f t="shared" si="21"/>
        <v>3.1707373099999998E-2</v>
      </c>
      <c r="R36" s="39">
        <f t="shared" si="10"/>
        <v>3.40264121E-2</v>
      </c>
      <c r="S36" s="38">
        <f t="shared" si="11"/>
        <v>3.4056325399999997E-2</v>
      </c>
      <c r="W36" s="147"/>
      <c r="X36" s="147"/>
      <c r="Y36" s="147"/>
      <c r="Z36" s="147"/>
    </row>
    <row r="37" spans="1:26" x14ac:dyDescent="0.15">
      <c r="A37" s="41">
        <v>33</v>
      </c>
      <c r="B37" s="144">
        <f t="shared" si="12"/>
        <v>3.08469668E-2</v>
      </c>
      <c r="C37" s="144">
        <f t="shared" si="13"/>
        <v>3.3621993500000003E-2</v>
      </c>
      <c r="D37" s="144">
        <f t="shared" si="14"/>
        <v>3.3657112199999999E-2</v>
      </c>
      <c r="E37" s="29">
        <f t="shared" si="15"/>
        <v>3.0873019500000001E-2</v>
      </c>
      <c r="F37" s="29">
        <f t="shared" si="16"/>
        <v>3.3785262900000002E-2</v>
      </c>
      <c r="G37" s="31">
        <f t="shared" si="17"/>
        <v>3.3822223399999997E-2</v>
      </c>
      <c r="H37" s="34">
        <f t="shared" si="18"/>
        <v>3.0703922299999999E-2</v>
      </c>
      <c r="I37" s="35">
        <f t="shared" ref="I37:I64" si="22">ROUND((J$2*6)*(1+J$2*6*I$4/6)*(1+J$2*6)^($A37-1)/((1+J$2*6)^$A37-1),10)</f>
        <v>3.2732461499999997E-2</v>
      </c>
      <c r="J37" s="36">
        <f t="shared" ref="J37:J64" si="23">ROUND((J$2*6)*(1+J$2*6*J$4/6)*(1+J$2*6)^($A37-1)/((1+J$2*6)^$A37-1),10)</f>
        <v>3.2757731300000002E-2</v>
      </c>
      <c r="K37" s="34">
        <f t="shared" si="19"/>
        <v>3.0729899500000001E-2</v>
      </c>
      <c r="L37" s="35">
        <f t="shared" ref="L37:L64" si="24">ROUND((M$2*6)*(1+M$2*6*L$4/6)*(1+M$2*6)^($A37-1)/((1+M$2*6)^$A37-1),10)</f>
        <v>3.2893129200000003E-2</v>
      </c>
      <c r="M37" s="36">
        <f t="shared" ref="M37:M64" si="25">ROUND((M$2*6)*(1+M$2*6*M$4/6)*(1+M$2*6)^($A37-1)/((1+M$2*6)^$A37-1),10)</f>
        <v>3.29201545E-2</v>
      </c>
      <c r="N37" s="38">
        <f t="shared" si="20"/>
        <v>3.07340571E-2</v>
      </c>
      <c r="O37" s="39">
        <f t="shared" ref="O37:O64" si="26">ROUND((P$2*6)*(1+P$2*6*O$4/6)*(1+P$2*6)^($A37-1)/((1+P$2*6)^$A37-1),10)</f>
        <v>3.2918879999999998E-2</v>
      </c>
      <c r="P37" s="40">
        <f t="shared" ref="P37:P64" si="27">ROUND((P$2*6)*(1+P$2*6*P$4/6)*(1+P$2*6)^($A37-1)/((1+P$2*6)^$A37-1),10)</f>
        <v>3.2946187699999997E-2</v>
      </c>
      <c r="Q37" s="38">
        <f t="shared" si="21"/>
        <v>3.0760050300000001E-2</v>
      </c>
      <c r="R37" s="39">
        <f t="shared" ref="R37:R64" si="28">ROUND((S$2*6)*(1+S$2*6*R$4/6)*(1+S$2*6)^($A37-1)/((1+S$2*6)^$A37-1),10)</f>
        <v>3.3080097500000002E-2</v>
      </c>
      <c r="S37" s="38">
        <f t="shared" ref="S37:S64" si="29">ROUND((S$2*6)*(1+S$2*6*S$4/6)*(1+S$2*6)^($A37-1)/((1+S$2*6)^$A37-1),10)</f>
        <v>3.31091788E-2</v>
      </c>
      <c r="W37" s="147"/>
      <c r="X37" s="147"/>
      <c r="Y37" s="147"/>
      <c r="Z37" s="147"/>
    </row>
    <row r="38" spans="1:26" x14ac:dyDescent="0.15">
      <c r="A38" s="41">
        <v>34</v>
      </c>
      <c r="B38" s="144">
        <f t="shared" si="12"/>
        <v>2.9955325200000001E-2</v>
      </c>
      <c r="C38" s="144">
        <f t="shared" si="13"/>
        <v>3.2732142700000001E-2</v>
      </c>
      <c r="D38" s="144">
        <f t="shared" si="14"/>
        <v>3.2766331900000001E-2</v>
      </c>
      <c r="E38" s="29">
        <f t="shared" si="15"/>
        <v>2.9981364600000001E-2</v>
      </c>
      <c r="F38" s="29">
        <f t="shared" si="16"/>
        <v>3.2895641900000001E-2</v>
      </c>
      <c r="G38" s="31">
        <f t="shared" si="17"/>
        <v>3.29316292E-2</v>
      </c>
      <c r="H38" s="34">
        <f t="shared" si="18"/>
        <v>2.9812361400000001E-2</v>
      </c>
      <c r="I38" s="35">
        <f t="shared" si="22"/>
        <v>3.1841608600000001E-2</v>
      </c>
      <c r="J38" s="36">
        <f t="shared" si="23"/>
        <v>3.1866190599999997E-2</v>
      </c>
      <c r="K38" s="34">
        <f t="shared" si="19"/>
        <v>2.9838323E-2</v>
      </c>
      <c r="L38" s="35">
        <f t="shared" si="24"/>
        <v>3.2002425399999999E-2</v>
      </c>
      <c r="M38" s="36">
        <f t="shared" si="25"/>
        <v>3.2028718900000003E-2</v>
      </c>
      <c r="N38" s="38">
        <f t="shared" si="20"/>
        <v>2.9842478200000001E-2</v>
      </c>
      <c r="O38" s="39">
        <f t="shared" si="26"/>
        <v>3.2028201399999998E-2</v>
      </c>
      <c r="P38" s="40">
        <f t="shared" si="27"/>
        <v>3.2054770199999999E-2</v>
      </c>
      <c r="Q38" s="38">
        <f t="shared" si="21"/>
        <v>2.9868456200000001E-2</v>
      </c>
      <c r="R38" s="39">
        <f t="shared" si="28"/>
        <v>3.2189585100000001E-2</v>
      </c>
      <c r="S38" s="38">
        <f t="shared" si="29"/>
        <v>3.2217883599999997E-2</v>
      </c>
      <c r="W38" s="147"/>
      <c r="X38" s="147"/>
      <c r="Y38" s="147"/>
      <c r="Z38" s="147"/>
    </row>
    <row r="39" spans="1:26" x14ac:dyDescent="0.15">
      <c r="A39" s="41">
        <v>35</v>
      </c>
      <c r="B39" s="144">
        <f t="shared" si="12"/>
        <v>2.9114639800000001E-2</v>
      </c>
      <c r="C39" s="144">
        <f t="shared" si="13"/>
        <v>3.1893327800000003E-2</v>
      </c>
      <c r="D39" s="144">
        <f t="shared" si="14"/>
        <v>3.1926640899999997E-2</v>
      </c>
      <c r="E39" s="29">
        <f t="shared" si="15"/>
        <v>2.91406671E-2</v>
      </c>
      <c r="F39" s="29">
        <f t="shared" si="16"/>
        <v>3.2057061900000003E-2</v>
      </c>
      <c r="G39" s="31">
        <f t="shared" si="17"/>
        <v>3.2092131699999998E-2</v>
      </c>
      <c r="H39" s="34">
        <f t="shared" si="18"/>
        <v>2.89717497E-2</v>
      </c>
      <c r="I39" s="35">
        <f t="shared" si="22"/>
        <v>3.1001764000000001E-2</v>
      </c>
      <c r="J39" s="36">
        <f t="shared" si="23"/>
        <v>3.1025697599999999E-2</v>
      </c>
      <c r="K39" s="34">
        <f t="shared" si="19"/>
        <v>2.8997696999999999E-2</v>
      </c>
      <c r="L39" s="35">
        <f t="shared" si="24"/>
        <v>3.1162734899999999E-2</v>
      </c>
      <c r="M39" s="36">
        <f t="shared" si="25"/>
        <v>3.1188338499999999E-2</v>
      </c>
      <c r="N39" s="38">
        <f t="shared" si="20"/>
        <v>2.9001849900000001E-2</v>
      </c>
      <c r="O39" s="39">
        <f t="shared" si="26"/>
        <v>3.1188536999999999E-2</v>
      </c>
      <c r="P39" s="40">
        <f t="shared" si="27"/>
        <v>3.1214409299999999E-2</v>
      </c>
      <c r="Q39" s="38">
        <f t="shared" si="21"/>
        <v>2.90278141E-2</v>
      </c>
      <c r="R39" s="39">
        <f t="shared" si="28"/>
        <v>3.1350091900000002E-2</v>
      </c>
      <c r="S39" s="38">
        <f t="shared" si="29"/>
        <v>3.1377652399999997E-2</v>
      </c>
      <c r="W39" s="147"/>
      <c r="X39" s="147"/>
      <c r="Y39" s="147"/>
      <c r="Z39" s="147"/>
    </row>
    <row r="40" spans="1:26" x14ac:dyDescent="0.15">
      <c r="A40" s="41">
        <v>36</v>
      </c>
      <c r="B40" s="144">
        <f t="shared" si="12"/>
        <v>2.8320664200000002E-2</v>
      </c>
      <c r="C40" s="144">
        <f t="shared" si="13"/>
        <v>3.1101295899999999E-2</v>
      </c>
      <c r="D40" s="144">
        <f t="shared" si="14"/>
        <v>3.1133781700000002E-2</v>
      </c>
      <c r="E40" s="29">
        <f t="shared" si="15"/>
        <v>2.8346680700000002E-2</v>
      </c>
      <c r="F40" s="29">
        <f t="shared" si="16"/>
        <v>3.1265269300000002E-2</v>
      </c>
      <c r="G40" s="31">
        <f t="shared" si="17"/>
        <v>3.1299473000000001E-2</v>
      </c>
      <c r="H40" s="34">
        <f t="shared" si="18"/>
        <v>2.81778414E-2</v>
      </c>
      <c r="I40" s="35">
        <f t="shared" si="22"/>
        <v>3.0208676899999998E-2</v>
      </c>
      <c r="J40" s="36">
        <f t="shared" si="23"/>
        <v>3.02319983E-2</v>
      </c>
      <c r="K40" s="34">
        <f t="shared" si="19"/>
        <v>2.82037755E-2</v>
      </c>
      <c r="L40" s="35">
        <f t="shared" si="24"/>
        <v>3.03698066E-2</v>
      </c>
      <c r="M40" s="36">
        <f t="shared" si="25"/>
        <v>3.0394758800000001E-2</v>
      </c>
      <c r="N40" s="38">
        <f t="shared" si="20"/>
        <v>2.82079264E-2</v>
      </c>
      <c r="O40" s="39">
        <f t="shared" si="26"/>
        <v>3.03956355E-2</v>
      </c>
      <c r="P40" s="40">
        <f t="shared" si="27"/>
        <v>3.0420849999999999E-2</v>
      </c>
      <c r="Q40" s="38">
        <f t="shared" si="21"/>
        <v>2.8233877899999999E-2</v>
      </c>
      <c r="R40" s="39">
        <f t="shared" si="28"/>
        <v>3.05573663E-2</v>
      </c>
      <c r="S40" s="38">
        <f t="shared" si="29"/>
        <v>3.0584229800000001E-2</v>
      </c>
      <c r="W40" s="147"/>
      <c r="X40" s="147"/>
      <c r="Y40" s="147"/>
      <c r="Z40" s="147"/>
    </row>
    <row r="41" spans="1:26" x14ac:dyDescent="0.15">
      <c r="A41" s="41">
        <v>37</v>
      </c>
      <c r="B41" s="144">
        <f t="shared" si="12"/>
        <v>2.75696112E-2</v>
      </c>
      <c r="C41" s="144">
        <f t="shared" si="13"/>
        <v>3.03522536E-2</v>
      </c>
      <c r="D41" s="144">
        <f t="shared" si="14"/>
        <v>3.0383957E-2</v>
      </c>
      <c r="E41" s="29">
        <f t="shared" si="15"/>
        <v>2.75956178E-2</v>
      </c>
      <c r="F41" s="29">
        <f t="shared" si="16"/>
        <v>3.0516470699999999E-2</v>
      </c>
      <c r="G41" s="31">
        <f t="shared" si="17"/>
        <v>3.05498552E-2</v>
      </c>
      <c r="H41" s="34">
        <f t="shared" si="18"/>
        <v>2.74268498E-2</v>
      </c>
      <c r="I41" s="35">
        <f t="shared" si="22"/>
        <v>2.94585562E-2</v>
      </c>
      <c r="J41" s="36">
        <f t="shared" si="23"/>
        <v>2.9481298499999999E-2</v>
      </c>
      <c r="K41" s="34">
        <f t="shared" si="19"/>
        <v>2.7452771800000001E-2</v>
      </c>
      <c r="L41" s="35">
        <f t="shared" si="24"/>
        <v>2.9619849E-2</v>
      </c>
      <c r="M41" s="36">
        <f t="shared" si="25"/>
        <v>2.9644185E-2</v>
      </c>
      <c r="N41" s="38">
        <f t="shared" si="20"/>
        <v>2.74569208E-2</v>
      </c>
      <c r="O41" s="39">
        <f t="shared" si="26"/>
        <v>2.9645705299999998E-2</v>
      </c>
      <c r="P41" s="40">
        <f t="shared" si="27"/>
        <v>2.9670297799999999E-2</v>
      </c>
      <c r="Q41" s="38">
        <f t="shared" si="21"/>
        <v>2.7482860599999999E-2</v>
      </c>
      <c r="R41" s="39">
        <f t="shared" si="28"/>
        <v>2.9807616200000001E-2</v>
      </c>
      <c r="S41" s="38">
        <f t="shared" si="29"/>
        <v>2.9833820699999999E-2</v>
      </c>
      <c r="W41" s="147"/>
      <c r="X41" s="147"/>
      <c r="Y41" s="147"/>
      <c r="Z41" s="147"/>
    </row>
    <row r="42" spans="1:26" x14ac:dyDescent="0.15">
      <c r="A42" s="41">
        <v>38</v>
      </c>
      <c r="B42" s="144">
        <f t="shared" si="12"/>
        <v>2.6858092199999999E-2</v>
      </c>
      <c r="C42" s="144">
        <f t="shared" si="13"/>
        <v>2.9642807E-2</v>
      </c>
      <c r="D42" s="144">
        <f t="shared" si="14"/>
        <v>2.9673769400000001E-2</v>
      </c>
      <c r="E42" s="29">
        <f t="shared" si="15"/>
        <v>2.6884089999999999E-2</v>
      </c>
      <c r="F42" s="29">
        <f t="shared" si="16"/>
        <v>2.98072715E-2</v>
      </c>
      <c r="G42" s="31">
        <f t="shared" si="17"/>
        <v>2.9839880199999998E-2</v>
      </c>
      <c r="H42" s="34">
        <f t="shared" si="18"/>
        <v>2.67153867E-2</v>
      </c>
      <c r="I42" s="35">
        <f t="shared" si="22"/>
        <v>2.87480099E-2</v>
      </c>
      <c r="J42" s="36">
        <f t="shared" si="23"/>
        <v>2.8770203599999999E-2</v>
      </c>
      <c r="K42" s="34">
        <f t="shared" si="19"/>
        <v>2.6741297599999998E-2</v>
      </c>
      <c r="L42" s="35">
        <f t="shared" si="24"/>
        <v>2.8909469600000001E-2</v>
      </c>
      <c r="M42" s="36">
        <f t="shared" si="25"/>
        <v>2.89332219E-2</v>
      </c>
      <c r="N42" s="38">
        <f t="shared" si="20"/>
        <v>2.67454448E-2</v>
      </c>
      <c r="O42" s="39">
        <f t="shared" si="26"/>
        <v>2.8935354E-2</v>
      </c>
      <c r="P42" s="40">
        <f t="shared" si="27"/>
        <v>2.8959357099999999E-2</v>
      </c>
      <c r="Q42" s="38">
        <f t="shared" si="21"/>
        <v>2.6771374099999998E-2</v>
      </c>
      <c r="R42" s="39">
        <f t="shared" si="28"/>
        <v>2.90974489E-2</v>
      </c>
      <c r="S42" s="38">
        <f t="shared" si="29"/>
        <v>2.9123029000000002E-2</v>
      </c>
      <c r="W42" s="147"/>
      <c r="X42" s="147"/>
      <c r="Y42" s="147"/>
      <c r="Z42" s="147"/>
    </row>
    <row r="43" spans="1:26" x14ac:dyDescent="0.15">
      <c r="A43" s="41">
        <v>39</v>
      </c>
      <c r="B43" s="144">
        <f t="shared" si="12"/>
        <v>2.6183066000000001E-2</v>
      </c>
      <c r="C43" s="144">
        <f t="shared" si="13"/>
        <v>2.8969910299999999E-2</v>
      </c>
      <c r="D43" s="144">
        <f t="shared" si="14"/>
        <v>2.90001698E-2</v>
      </c>
      <c r="E43" s="29">
        <f t="shared" si="15"/>
        <v>2.6209055799999999E-2</v>
      </c>
      <c r="F43" s="29">
        <f t="shared" si="16"/>
        <v>2.9134625800000001E-2</v>
      </c>
      <c r="G43" s="31">
        <f t="shared" si="17"/>
        <v>2.91664986E-2</v>
      </c>
      <c r="H43" s="34">
        <f t="shared" si="18"/>
        <v>2.6040411499999999E-2</v>
      </c>
      <c r="I43" s="35">
        <f t="shared" si="22"/>
        <v>2.80739936E-2</v>
      </c>
      <c r="J43" s="36">
        <f t="shared" si="23"/>
        <v>2.8095667000000001E-2</v>
      </c>
      <c r="K43" s="34">
        <f t="shared" si="19"/>
        <v>2.60663122E-2</v>
      </c>
      <c r="L43" s="35">
        <f t="shared" si="24"/>
        <v>2.8235623899999999E-2</v>
      </c>
      <c r="M43" s="36">
        <f t="shared" si="25"/>
        <v>2.82588226E-2</v>
      </c>
      <c r="N43" s="38">
        <f t="shared" si="20"/>
        <v>2.6070457799999999E-2</v>
      </c>
      <c r="O43" s="39">
        <f t="shared" si="26"/>
        <v>2.8261536899999998E-2</v>
      </c>
      <c r="P43" s="40">
        <f t="shared" si="27"/>
        <v>2.8284981099999999E-2</v>
      </c>
      <c r="Q43" s="38">
        <f t="shared" si="21"/>
        <v>2.6096377300000001E-2</v>
      </c>
      <c r="R43" s="39">
        <f t="shared" si="28"/>
        <v>2.8423819499999999E-2</v>
      </c>
      <c r="S43" s="38">
        <f t="shared" si="29"/>
        <v>2.8448807400000001E-2</v>
      </c>
      <c r="W43" s="147"/>
      <c r="X43" s="147"/>
      <c r="Y43" s="147"/>
      <c r="Z43" s="147"/>
    </row>
    <row r="44" spans="1:26" x14ac:dyDescent="0.15">
      <c r="A44" s="41">
        <v>40</v>
      </c>
      <c r="B44" s="144">
        <f t="shared" si="12"/>
        <v>2.5541795700000001E-2</v>
      </c>
      <c r="C44" s="144">
        <f t="shared" si="13"/>
        <v>2.83308221E-2</v>
      </c>
      <c r="D44" s="144">
        <f t="shared" si="14"/>
        <v>2.8360414099999998E-2</v>
      </c>
      <c r="E44" s="29">
        <f t="shared" si="15"/>
        <v>2.5567778499999999E-2</v>
      </c>
      <c r="F44" s="29">
        <f t="shared" si="16"/>
        <v>2.84957918E-2</v>
      </c>
      <c r="G44" s="31">
        <f t="shared" si="17"/>
        <v>2.8526965800000002E-2</v>
      </c>
      <c r="H44" s="34">
        <f t="shared" si="18"/>
        <v>2.53991875E-2</v>
      </c>
      <c r="I44" s="35">
        <f t="shared" si="22"/>
        <v>2.74337677E-2</v>
      </c>
      <c r="J44" s="36">
        <f t="shared" si="23"/>
        <v>2.7454946800000001E-2</v>
      </c>
      <c r="K44" s="34">
        <f t="shared" si="19"/>
        <v>2.5425078899999998E-2</v>
      </c>
      <c r="L44" s="35">
        <f t="shared" si="24"/>
        <v>2.7595571900000001E-2</v>
      </c>
      <c r="M44" s="36">
        <f t="shared" si="25"/>
        <v>2.7618244699999999E-2</v>
      </c>
      <c r="N44" s="38">
        <f t="shared" si="20"/>
        <v>2.5429223000000001E-2</v>
      </c>
      <c r="O44" s="39">
        <f t="shared" si="26"/>
        <v>2.7621514100000001E-2</v>
      </c>
      <c r="P44" s="40">
        <f t="shared" si="27"/>
        <v>2.7644427400000001E-2</v>
      </c>
      <c r="Q44" s="38">
        <f t="shared" si="21"/>
        <v>2.5455133599999999E-2</v>
      </c>
      <c r="R44" s="39">
        <f t="shared" si="28"/>
        <v>2.7783987600000001E-2</v>
      </c>
      <c r="S44" s="38">
        <f t="shared" si="29"/>
        <v>2.7808413000000001E-2</v>
      </c>
      <c r="W44" s="147"/>
      <c r="X44" s="147"/>
      <c r="Y44" s="147"/>
      <c r="Z44" s="147"/>
    </row>
    <row r="45" spans="1:26" x14ac:dyDescent="0.15">
      <c r="A45" s="41">
        <v>41</v>
      </c>
      <c r="B45" s="144">
        <f t="shared" si="12"/>
        <v>2.4931811299999999E-2</v>
      </c>
      <c r="C45" s="144">
        <f t="shared" si="13"/>
        <v>2.77230685E-2</v>
      </c>
      <c r="D45" s="144">
        <f t="shared" si="14"/>
        <v>2.7752025699999999E-2</v>
      </c>
      <c r="E45" s="29">
        <f t="shared" si="15"/>
        <v>2.4957787799999999E-2</v>
      </c>
      <c r="F45" s="29">
        <f t="shared" si="16"/>
        <v>2.7888295600000002E-2</v>
      </c>
      <c r="G45" s="31">
        <f t="shared" si="17"/>
        <v>2.79188049E-2</v>
      </c>
      <c r="H45" s="34">
        <f t="shared" si="18"/>
        <v>2.4789245200000001E-2</v>
      </c>
      <c r="I45" s="35">
        <f t="shared" si="22"/>
        <v>2.6824859600000001E-2</v>
      </c>
      <c r="J45" s="36">
        <f t="shared" si="23"/>
        <v>2.6845568600000001E-2</v>
      </c>
      <c r="K45" s="34">
        <f t="shared" si="19"/>
        <v>2.4815127999999999E-2</v>
      </c>
      <c r="L45" s="35">
        <f t="shared" si="24"/>
        <v>2.6986840799999998E-2</v>
      </c>
      <c r="M45" s="36">
        <f t="shared" si="25"/>
        <v>2.70090134E-2</v>
      </c>
      <c r="N45" s="38">
        <f t="shared" si="20"/>
        <v>2.4819270800000001E-2</v>
      </c>
      <c r="O45" s="39">
        <f t="shared" si="26"/>
        <v>2.70128127E-2</v>
      </c>
      <c r="P45" s="40">
        <f t="shared" si="27"/>
        <v>2.7035221000000002E-2</v>
      </c>
      <c r="Q45" s="38">
        <f t="shared" si="21"/>
        <v>2.4845173299999999E-2</v>
      </c>
      <c r="R45" s="39">
        <f t="shared" si="28"/>
        <v>2.71754801E-2</v>
      </c>
      <c r="S45" s="38">
        <f t="shared" si="29"/>
        <v>2.7199370600000002E-2</v>
      </c>
      <c r="W45" s="147"/>
      <c r="X45" s="147"/>
      <c r="Y45" s="147"/>
      <c r="Z45" s="147"/>
    </row>
    <row r="46" spans="1:26" x14ac:dyDescent="0.15">
      <c r="A46" s="41">
        <v>42</v>
      </c>
      <c r="B46" s="144">
        <f t="shared" si="12"/>
        <v>2.4350878199999999E-2</v>
      </c>
      <c r="C46" s="144">
        <f t="shared" si="13"/>
        <v>2.71444115E-2</v>
      </c>
      <c r="D46" s="144">
        <f t="shared" si="14"/>
        <v>2.7172764200000001E-2</v>
      </c>
      <c r="E46" s="29">
        <f t="shared" si="15"/>
        <v>2.4376849200000002E-2</v>
      </c>
      <c r="F46" s="29">
        <f t="shared" si="16"/>
        <v>2.73098986E-2</v>
      </c>
      <c r="G46" s="31">
        <f t="shared" si="17"/>
        <v>2.7339775199999999E-2</v>
      </c>
      <c r="H46" s="34">
        <f t="shared" si="18"/>
        <v>2.4208350100000001E-2</v>
      </c>
      <c r="I46" s="35">
        <f t="shared" si="22"/>
        <v>2.62450324E-2</v>
      </c>
      <c r="J46" s="36">
        <f t="shared" si="23"/>
        <v>2.6265293799999999E-2</v>
      </c>
      <c r="K46" s="34">
        <f t="shared" si="19"/>
        <v>2.4234225000000002E-2</v>
      </c>
      <c r="L46" s="35">
        <f t="shared" si="24"/>
        <v>2.6407193400000001E-2</v>
      </c>
      <c r="M46" s="36">
        <f t="shared" si="25"/>
        <v>2.6428889800000001E-2</v>
      </c>
      <c r="N46" s="38">
        <f t="shared" si="20"/>
        <v>2.42383667E-2</v>
      </c>
      <c r="O46" s="39">
        <f t="shared" si="26"/>
        <v>2.6433195400000001E-2</v>
      </c>
      <c r="P46" s="40">
        <f t="shared" si="27"/>
        <v>2.6455123000000001E-2</v>
      </c>
      <c r="Q46" s="38">
        <f t="shared" si="21"/>
        <v>2.4264261799999999E-2</v>
      </c>
      <c r="R46" s="39">
        <f t="shared" si="28"/>
        <v>2.6596059799999999E-2</v>
      </c>
      <c r="S46" s="38">
        <f t="shared" si="29"/>
        <v>2.6619440800000001E-2</v>
      </c>
      <c r="W46" s="147"/>
      <c r="X46" s="147"/>
      <c r="Y46" s="147"/>
      <c r="Z46" s="147"/>
    </row>
    <row r="47" spans="1:26" x14ac:dyDescent="0.15">
      <c r="A47" s="41">
        <v>43</v>
      </c>
      <c r="B47" s="144">
        <f t="shared" si="12"/>
        <v>2.3796969500000001E-2</v>
      </c>
      <c r="C47" s="144">
        <f t="shared" si="13"/>
        <v>2.65928208E-2</v>
      </c>
      <c r="D47" s="144">
        <f t="shared" si="14"/>
        <v>2.6620597400000001E-2</v>
      </c>
      <c r="E47" s="29">
        <f t="shared" si="15"/>
        <v>2.3822935600000001E-2</v>
      </c>
      <c r="F47" s="29">
        <f t="shared" si="16"/>
        <v>2.6758570700000001E-2</v>
      </c>
      <c r="G47" s="31">
        <f t="shared" si="17"/>
        <v>2.6787844099999999E-2</v>
      </c>
      <c r="H47" s="34">
        <f t="shared" si="18"/>
        <v>2.3654475800000001E-2</v>
      </c>
      <c r="I47" s="35">
        <f t="shared" si="22"/>
        <v>2.5692257100000001E-2</v>
      </c>
      <c r="J47" s="36">
        <f t="shared" si="23"/>
        <v>2.5712091699999998E-2</v>
      </c>
      <c r="K47" s="34">
        <f t="shared" si="19"/>
        <v>2.3680343499999999E-2</v>
      </c>
      <c r="L47" s="35">
        <f t="shared" si="24"/>
        <v>2.5854600599999999E-2</v>
      </c>
      <c r="M47" s="36">
        <f t="shared" si="25"/>
        <v>2.5875842999999999E-2</v>
      </c>
      <c r="N47" s="38">
        <f t="shared" si="20"/>
        <v>2.3684483999999999E-2</v>
      </c>
      <c r="O47" s="39">
        <f t="shared" si="26"/>
        <v>2.5880633199999999E-2</v>
      </c>
      <c r="P47" s="40">
        <f t="shared" si="27"/>
        <v>2.5902102400000002E-2</v>
      </c>
      <c r="Q47" s="38">
        <f t="shared" si="21"/>
        <v>2.37103725E-2</v>
      </c>
      <c r="R47" s="39">
        <f t="shared" si="28"/>
        <v>2.6043697000000001E-2</v>
      </c>
      <c r="S47" s="38">
        <f t="shared" si="29"/>
        <v>2.6066592499999999E-2</v>
      </c>
      <c r="W47" s="147"/>
      <c r="X47" s="147"/>
      <c r="Y47" s="147"/>
      <c r="Z47" s="147"/>
    </row>
    <row r="48" spans="1:26" x14ac:dyDescent="0.15">
      <c r="A48" s="41">
        <v>44</v>
      </c>
      <c r="B48" s="144">
        <f t="shared" si="12"/>
        <v>2.32682427E-2</v>
      </c>
      <c r="C48" s="144">
        <f t="shared" si="13"/>
        <v>2.6066451099999999E-2</v>
      </c>
      <c r="D48" s="144">
        <f t="shared" si="14"/>
        <v>2.6093677900000001E-2</v>
      </c>
      <c r="E48" s="29">
        <f t="shared" si="15"/>
        <v>2.3294204499999999E-2</v>
      </c>
      <c r="F48" s="29">
        <f t="shared" si="16"/>
        <v>2.6232465999999999E-2</v>
      </c>
      <c r="G48" s="31">
        <f t="shared" si="17"/>
        <v>2.6261163899999999E-2</v>
      </c>
      <c r="H48" s="34">
        <f t="shared" si="18"/>
        <v>2.3125779799999999E-2</v>
      </c>
      <c r="I48" s="35">
        <f t="shared" si="22"/>
        <v>2.5164689300000001E-2</v>
      </c>
      <c r="J48" s="36">
        <f t="shared" si="23"/>
        <v>2.5184116600000001E-2</v>
      </c>
      <c r="K48" s="34">
        <f t="shared" si="19"/>
        <v>2.3151641000000001E-2</v>
      </c>
      <c r="L48" s="35">
        <f t="shared" si="24"/>
        <v>2.5327217799999999E-2</v>
      </c>
      <c r="M48" s="36">
        <f t="shared" si="25"/>
        <v>2.5348026900000001E-2</v>
      </c>
      <c r="N48" s="38">
        <f t="shared" si="20"/>
        <v>2.3155780500000001E-2</v>
      </c>
      <c r="O48" s="39">
        <f t="shared" si="26"/>
        <v>2.5353281299999999E-2</v>
      </c>
      <c r="P48" s="40">
        <f t="shared" si="27"/>
        <v>2.5374312999999999E-2</v>
      </c>
      <c r="Q48" s="38">
        <f t="shared" si="21"/>
        <v>2.31816629E-2</v>
      </c>
      <c r="R48" s="39">
        <f t="shared" si="28"/>
        <v>2.5516547099999998E-2</v>
      </c>
      <c r="S48" s="38">
        <f t="shared" si="29"/>
        <v>2.5538979199999999E-2</v>
      </c>
      <c r="W48" s="147"/>
      <c r="X48" s="147"/>
      <c r="Y48" s="147"/>
      <c r="Z48" s="147"/>
    </row>
    <row r="49" spans="1:26" x14ac:dyDescent="0.15">
      <c r="A49" s="41">
        <v>45</v>
      </c>
      <c r="B49" s="144">
        <f t="shared" si="12"/>
        <v>2.2763018900000001E-2</v>
      </c>
      <c r="C49" s="144">
        <f t="shared" si="13"/>
        <v>2.5563620799999999E-2</v>
      </c>
      <c r="D49" s="144">
        <f t="shared" si="14"/>
        <v>2.5590322400000001E-2</v>
      </c>
      <c r="E49" s="29">
        <f t="shared" si="15"/>
        <v>2.2788976999999998E-2</v>
      </c>
      <c r="F49" s="29">
        <f t="shared" si="16"/>
        <v>2.57299031E-2</v>
      </c>
      <c r="G49" s="31">
        <f t="shared" si="17"/>
        <v>2.57580512E-2</v>
      </c>
      <c r="H49" s="34">
        <f t="shared" si="18"/>
        <v>2.2620583600000001E-2</v>
      </c>
      <c r="I49" s="35">
        <f t="shared" si="22"/>
        <v>2.4660648399999999E-2</v>
      </c>
      <c r="J49" s="36">
        <f t="shared" si="23"/>
        <v>2.4679686700000002E-2</v>
      </c>
      <c r="K49" s="34">
        <f t="shared" si="19"/>
        <v>2.26464389E-2</v>
      </c>
      <c r="L49" s="35">
        <f t="shared" si="24"/>
        <v>2.48233642E-2</v>
      </c>
      <c r="M49" s="36">
        <f t="shared" si="25"/>
        <v>2.4843759300000001E-2</v>
      </c>
      <c r="N49" s="38">
        <f t="shared" si="20"/>
        <v>2.26505774E-2</v>
      </c>
      <c r="O49" s="39">
        <f t="shared" si="26"/>
        <v>2.4849459099999999E-2</v>
      </c>
      <c r="P49" s="40">
        <f t="shared" si="27"/>
        <v>2.48700728E-2</v>
      </c>
      <c r="Q49" s="38">
        <f t="shared" si="21"/>
        <v>2.2676454400000001E-2</v>
      </c>
      <c r="R49" s="39">
        <f t="shared" si="28"/>
        <v>2.5012929100000001E-2</v>
      </c>
      <c r="S49" s="38">
        <f t="shared" si="29"/>
        <v>2.5034918400000002E-2</v>
      </c>
      <c r="W49" s="147"/>
      <c r="X49" s="147"/>
      <c r="Y49" s="147"/>
      <c r="Z49" s="147"/>
    </row>
    <row r="50" spans="1:26" x14ac:dyDescent="0.15">
      <c r="A50" s="41">
        <v>46</v>
      </c>
      <c r="B50" s="144">
        <f t="shared" si="12"/>
        <v>2.2279765399999998E-2</v>
      </c>
      <c r="C50" s="144">
        <f t="shared" si="13"/>
        <v>2.5082794799999999E-2</v>
      </c>
      <c r="D50" s="144">
        <f t="shared" si="14"/>
        <v>2.5108994200000002E-2</v>
      </c>
      <c r="E50" s="29">
        <f t="shared" si="15"/>
        <v>2.23057204E-2</v>
      </c>
      <c r="F50" s="29">
        <f t="shared" si="16"/>
        <v>2.5249346499999999E-2</v>
      </c>
      <c r="G50" s="31">
        <f t="shared" si="17"/>
        <v>2.5276968800000001E-2</v>
      </c>
      <c r="H50" s="34">
        <f t="shared" si="18"/>
        <v>2.21373547E-2</v>
      </c>
      <c r="I50" s="35">
        <f t="shared" si="22"/>
        <v>2.4178600200000001E-2</v>
      </c>
      <c r="J50" s="36">
        <f t="shared" si="23"/>
        <v>2.4197266299999999E-2</v>
      </c>
      <c r="K50" s="34">
        <f t="shared" si="19"/>
        <v>2.2163204499999999E-2</v>
      </c>
      <c r="L50" s="35">
        <f t="shared" si="24"/>
        <v>2.43415053E-2</v>
      </c>
      <c r="M50" s="36">
        <f t="shared" si="25"/>
        <v>2.43615046E-2</v>
      </c>
      <c r="N50" s="38">
        <f t="shared" si="20"/>
        <v>2.21673423E-2</v>
      </c>
      <c r="O50" s="39">
        <f t="shared" si="26"/>
        <v>2.4367631899999999E-2</v>
      </c>
      <c r="P50" s="40">
        <f t="shared" si="27"/>
        <v>2.43878459E-2</v>
      </c>
      <c r="Q50" s="38">
        <f t="shared" si="21"/>
        <v>2.21932143E-2</v>
      </c>
      <c r="R50" s="39">
        <f t="shared" si="28"/>
        <v>2.4531308299999999E-2</v>
      </c>
      <c r="S50" s="38">
        <f t="shared" si="29"/>
        <v>2.4552874200000002E-2</v>
      </c>
      <c r="W50" s="147"/>
      <c r="X50" s="147"/>
      <c r="Y50" s="147"/>
      <c r="Z50" s="147"/>
    </row>
    <row r="51" spans="1:26" x14ac:dyDescent="0.15">
      <c r="A51" s="41">
        <v>47</v>
      </c>
      <c r="B51" s="144">
        <f t="shared" si="12"/>
        <v>2.1817079699999999E-2</v>
      </c>
      <c r="C51" s="144">
        <f t="shared" si="13"/>
        <v>2.4622568500000001E-2</v>
      </c>
      <c r="D51" s="144">
        <f t="shared" si="14"/>
        <v>2.4648287200000001E-2</v>
      </c>
      <c r="E51" s="29">
        <f t="shared" si="15"/>
        <v>2.18430321E-2</v>
      </c>
      <c r="F51" s="29">
        <f t="shared" si="16"/>
        <v>2.4789391500000001E-2</v>
      </c>
      <c r="G51" s="31">
        <f t="shared" si="17"/>
        <v>2.4816510699999999E-2</v>
      </c>
      <c r="H51" s="34">
        <f t="shared" si="18"/>
        <v>2.16746908E-2</v>
      </c>
      <c r="I51" s="35">
        <f t="shared" si="22"/>
        <v>2.37171407E-2</v>
      </c>
      <c r="J51" s="36">
        <f t="shared" si="23"/>
        <v>2.3735450500000001E-2</v>
      </c>
      <c r="K51" s="34">
        <f t="shared" si="19"/>
        <v>2.1700535699999999E-2</v>
      </c>
      <c r="L51" s="35">
        <f t="shared" si="24"/>
        <v>2.3880237299999999E-2</v>
      </c>
      <c r="M51" s="36">
        <f t="shared" si="25"/>
        <v>2.38998575E-2</v>
      </c>
      <c r="N51" s="38">
        <f t="shared" si="20"/>
        <v>2.17046727E-2</v>
      </c>
      <c r="O51" s="39">
        <f t="shared" si="26"/>
        <v>2.3906395800000001E-2</v>
      </c>
      <c r="P51" s="40">
        <f t="shared" si="27"/>
        <v>2.3926227200000001E-2</v>
      </c>
      <c r="Q51" s="38">
        <f t="shared" si="21"/>
        <v>2.17305403E-2</v>
      </c>
      <c r="R51" s="39">
        <f t="shared" si="28"/>
        <v>2.4070280600000001E-2</v>
      </c>
      <c r="S51" s="38">
        <f t="shared" si="29"/>
        <v>2.4091441200000001E-2</v>
      </c>
      <c r="W51" s="147"/>
      <c r="X51" s="147"/>
      <c r="Y51" s="147"/>
      <c r="Z51" s="147"/>
    </row>
    <row r="52" spans="1:26" x14ac:dyDescent="0.15">
      <c r="A52" s="41">
        <v>48</v>
      </c>
      <c r="B52" s="144">
        <f t="shared" si="12"/>
        <v>2.13736764E-2</v>
      </c>
      <c r="C52" s="144">
        <f t="shared" si="13"/>
        <v>2.4181654300000001E-2</v>
      </c>
      <c r="D52" s="144">
        <f t="shared" si="14"/>
        <v>2.42069125E-2</v>
      </c>
      <c r="E52" s="29">
        <f t="shared" si="15"/>
        <v>2.13996267E-2</v>
      </c>
      <c r="F52" s="29">
        <f t="shared" si="16"/>
        <v>2.4348750499999999E-2</v>
      </c>
      <c r="G52" s="31">
        <f t="shared" si="17"/>
        <v>2.4375387599999999E-2</v>
      </c>
      <c r="H52" s="34">
        <f t="shared" si="18"/>
        <v>2.1231306700000001E-2</v>
      </c>
      <c r="I52" s="35">
        <f t="shared" si="22"/>
        <v>2.3274983199999998E-2</v>
      </c>
      <c r="J52" s="36">
        <f t="shared" si="23"/>
        <v>2.3292951700000002E-2</v>
      </c>
      <c r="K52" s="34">
        <f t="shared" si="19"/>
        <v>2.12571472E-2</v>
      </c>
      <c r="L52" s="35">
        <f t="shared" si="24"/>
        <v>2.34382731E-2</v>
      </c>
      <c r="M52" s="36">
        <f t="shared" si="25"/>
        <v>2.34575302E-2</v>
      </c>
      <c r="N52" s="38">
        <f t="shared" si="20"/>
        <v>2.1261283499999999E-2</v>
      </c>
      <c r="O52" s="39">
        <f t="shared" si="26"/>
        <v>2.34644639E-2</v>
      </c>
      <c r="P52" s="40">
        <f t="shared" si="27"/>
        <v>2.34839287E-2</v>
      </c>
      <c r="Q52" s="38">
        <f t="shared" si="21"/>
        <v>2.1287147199999999E-2</v>
      </c>
      <c r="R52" s="39">
        <f t="shared" si="28"/>
        <v>2.3628558899999999E-2</v>
      </c>
      <c r="S52" s="38">
        <f t="shared" si="29"/>
        <v>2.3649331199999998E-2</v>
      </c>
      <c r="W52" s="147"/>
      <c r="X52" s="147"/>
      <c r="Y52" s="147"/>
      <c r="Z52" s="147"/>
    </row>
    <row r="53" spans="1:26" x14ac:dyDescent="0.15">
      <c r="A53" s="41">
        <v>49</v>
      </c>
      <c r="B53" s="144">
        <f t="shared" si="12"/>
        <v>2.0948375000000002E-2</v>
      </c>
      <c r="C53" s="144">
        <f t="shared" si="13"/>
        <v>2.37588699E-2</v>
      </c>
      <c r="D53" s="144">
        <f t="shared" si="14"/>
        <v>2.37836864E-2</v>
      </c>
      <c r="E53" s="29">
        <f t="shared" si="15"/>
        <v>2.0974323600000001E-2</v>
      </c>
      <c r="F53" s="29">
        <f t="shared" si="16"/>
        <v>2.3926240800000002E-2</v>
      </c>
      <c r="G53" s="31">
        <f t="shared" si="17"/>
        <v>2.39524157E-2</v>
      </c>
      <c r="H53" s="34">
        <f t="shared" si="18"/>
        <v>2.0806022E-2</v>
      </c>
      <c r="I53" s="35">
        <f t="shared" si="22"/>
        <v>2.2850945899999999E-2</v>
      </c>
      <c r="J53" s="36">
        <f t="shared" si="23"/>
        <v>2.2868586999999999E-2</v>
      </c>
      <c r="K53" s="34">
        <f t="shared" si="19"/>
        <v>2.0831858500000001E-2</v>
      </c>
      <c r="L53" s="35">
        <f t="shared" si="24"/>
        <v>2.3014430799999999E-2</v>
      </c>
      <c r="M53" s="36">
        <f t="shared" si="25"/>
        <v>2.3033339699999999E-2</v>
      </c>
      <c r="N53" s="38">
        <f t="shared" si="20"/>
        <v>2.0835994199999999E-2</v>
      </c>
      <c r="O53" s="39">
        <f t="shared" si="26"/>
        <v>2.30406542E-2</v>
      </c>
      <c r="P53" s="40">
        <f t="shared" si="27"/>
        <v>2.3059767500000002E-2</v>
      </c>
      <c r="Q53" s="38">
        <f t="shared" si="21"/>
        <v>2.0861854400000001E-2</v>
      </c>
      <c r="R53" s="39">
        <f t="shared" si="28"/>
        <v>2.3204961199999999E-2</v>
      </c>
      <c r="S53" s="38">
        <f t="shared" si="29"/>
        <v>2.3225361100000001E-2</v>
      </c>
      <c r="W53" s="147"/>
      <c r="X53" s="147"/>
      <c r="Y53" s="147"/>
      <c r="Z53" s="147"/>
    </row>
    <row r="54" spans="1:26" x14ac:dyDescent="0.15">
      <c r="A54" s="41">
        <v>50</v>
      </c>
      <c r="B54" s="144">
        <f t="shared" si="12"/>
        <v>2.0540089300000001E-2</v>
      </c>
      <c r="C54" s="144">
        <f t="shared" si="13"/>
        <v>2.3353127299999998E-2</v>
      </c>
      <c r="D54" s="144">
        <f t="shared" si="14"/>
        <v>2.3377519999999999E-2</v>
      </c>
      <c r="E54" s="29">
        <f t="shared" si="15"/>
        <v>2.05660366E-2</v>
      </c>
      <c r="F54" s="29">
        <f t="shared" si="16"/>
        <v>2.3520774599999999E-2</v>
      </c>
      <c r="G54" s="31">
        <f t="shared" si="17"/>
        <v>2.3546505999999998E-2</v>
      </c>
      <c r="H54" s="34">
        <f t="shared" si="18"/>
        <v>2.03977506E-2</v>
      </c>
      <c r="I54" s="35">
        <f t="shared" si="22"/>
        <v>2.24439416E-2</v>
      </c>
      <c r="J54" s="36">
        <f t="shared" si="23"/>
        <v>2.2461268499999999E-2</v>
      </c>
      <c r="K54" s="34">
        <f t="shared" si="19"/>
        <v>2.04235836E-2</v>
      </c>
      <c r="L54" s="35">
        <f t="shared" si="24"/>
        <v>2.26076232E-2</v>
      </c>
      <c r="M54" s="36">
        <f t="shared" si="25"/>
        <v>2.2626197899999999E-2</v>
      </c>
      <c r="N54" s="38">
        <f t="shared" si="20"/>
        <v>2.0427718800000001E-2</v>
      </c>
      <c r="O54" s="39">
        <f t="shared" si="26"/>
        <v>2.2633879400000001E-2</v>
      </c>
      <c r="P54" s="40">
        <f t="shared" si="27"/>
        <v>2.26526552E-2</v>
      </c>
      <c r="Q54" s="38">
        <f t="shared" si="21"/>
        <v>2.04535759E-2</v>
      </c>
      <c r="R54" s="39">
        <f t="shared" si="28"/>
        <v>2.27984E-2</v>
      </c>
      <c r="S54" s="38">
        <f t="shared" si="29"/>
        <v>2.2818442500000001E-2</v>
      </c>
      <c r="W54" s="147"/>
      <c r="X54" s="147"/>
      <c r="Y54" s="147"/>
      <c r="Z54" s="147"/>
    </row>
    <row r="55" spans="1:26" x14ac:dyDescent="0.15">
      <c r="A55" s="41">
        <v>51</v>
      </c>
      <c r="B55" s="144">
        <f t="shared" si="12"/>
        <v>2.01478184E-2</v>
      </c>
      <c r="C55" s="144">
        <f t="shared" si="13"/>
        <v>2.2963424100000001E-2</v>
      </c>
      <c r="D55" s="144">
        <f t="shared" si="14"/>
        <v>2.2987409800000001E-2</v>
      </c>
      <c r="E55" s="29">
        <f t="shared" si="15"/>
        <v>2.0173764899999998E-2</v>
      </c>
      <c r="F55" s="29">
        <f t="shared" si="16"/>
        <v>2.31313493E-2</v>
      </c>
      <c r="G55" s="31">
        <f t="shared" si="17"/>
        <v>2.31566546E-2</v>
      </c>
      <c r="H55" s="34">
        <f t="shared" si="18"/>
        <v>2.0005491800000001E-2</v>
      </c>
      <c r="I55" s="35">
        <f t="shared" si="22"/>
        <v>2.2052968199999998E-2</v>
      </c>
      <c r="J55" s="36">
        <f t="shared" si="23"/>
        <v>2.20699933E-2</v>
      </c>
      <c r="K55" s="34">
        <f t="shared" si="19"/>
        <v>2.0031321599999999E-2</v>
      </c>
      <c r="L55" s="35">
        <f t="shared" si="24"/>
        <v>2.2216848099999999E-2</v>
      </c>
      <c r="M55" s="36">
        <f t="shared" si="25"/>
        <v>2.2235101699999999E-2</v>
      </c>
      <c r="N55" s="38">
        <f t="shared" si="20"/>
        <v>2.0035456399999999E-2</v>
      </c>
      <c r="O55" s="39">
        <f t="shared" si="26"/>
        <v>2.2243137400000002E-2</v>
      </c>
      <c r="P55" s="40">
        <f t="shared" si="27"/>
        <v>2.22615891E-2</v>
      </c>
      <c r="Q55" s="38">
        <f t="shared" si="21"/>
        <v>2.0061310799999999E-2</v>
      </c>
      <c r="R55" s="39">
        <f t="shared" si="28"/>
        <v>2.2407873200000001E-2</v>
      </c>
      <c r="S55" s="38">
        <f t="shared" si="29"/>
        <v>2.24275723E-2</v>
      </c>
      <c r="W55" s="147"/>
      <c r="X55" s="147"/>
      <c r="Y55" s="147"/>
      <c r="Z55" s="147"/>
    </row>
    <row r="56" spans="1:26" x14ac:dyDescent="0.15">
      <c r="A56" s="41">
        <v>52</v>
      </c>
      <c r="B56" s="144">
        <f t="shared" si="12"/>
        <v>1.9770638399999999E-2</v>
      </c>
      <c r="C56" s="144">
        <f t="shared" si="13"/>
        <v>2.25888349E-2</v>
      </c>
      <c r="D56" s="144">
        <f t="shared" si="14"/>
        <v>2.26124293E-2</v>
      </c>
      <c r="E56" s="29">
        <f t="shared" si="15"/>
        <v>1.9796584400000001E-2</v>
      </c>
      <c r="F56" s="29">
        <f t="shared" si="16"/>
        <v>2.27570393E-2</v>
      </c>
      <c r="G56" s="31">
        <f t="shared" si="17"/>
        <v>2.2781935100000001E-2</v>
      </c>
      <c r="H56" s="34">
        <f t="shared" si="18"/>
        <v>1.9628321800000001E-2</v>
      </c>
      <c r="I56" s="35">
        <f t="shared" si="22"/>
        <v>2.1677101099999999E-2</v>
      </c>
      <c r="J56" s="36">
        <f t="shared" si="23"/>
        <v>2.1693836000000001E-2</v>
      </c>
      <c r="K56" s="34">
        <f t="shared" si="19"/>
        <v>1.9654148900000001E-2</v>
      </c>
      <c r="L56" s="35">
        <f t="shared" si="24"/>
        <v>2.1841180599999999E-2</v>
      </c>
      <c r="M56" s="36">
        <f t="shared" si="25"/>
        <v>2.1859125600000001E-2</v>
      </c>
      <c r="N56" s="38">
        <f t="shared" si="20"/>
        <v>1.9658283200000001E-2</v>
      </c>
      <c r="O56" s="39">
        <f t="shared" si="26"/>
        <v>2.1867503199999999E-2</v>
      </c>
      <c r="P56" s="40">
        <f t="shared" si="27"/>
        <v>2.18856433E-2</v>
      </c>
      <c r="Q56" s="38">
        <f t="shared" si="21"/>
        <v>1.96841354E-2</v>
      </c>
      <c r="R56" s="39">
        <f t="shared" si="28"/>
        <v>2.20324556E-2</v>
      </c>
      <c r="S56" s="38">
        <f t="shared" si="29"/>
        <v>2.20518247E-2</v>
      </c>
      <c r="W56" s="147"/>
      <c r="X56" s="147"/>
      <c r="Y56" s="147"/>
      <c r="Z56" s="147"/>
    </row>
    <row r="57" spans="1:26" x14ac:dyDescent="0.15">
      <c r="A57" s="41">
        <v>53</v>
      </c>
      <c r="B57" s="144">
        <f t="shared" si="12"/>
        <v>1.9407694999999999E-2</v>
      </c>
      <c r="C57" s="144">
        <f t="shared" si="13"/>
        <v>2.2228504E-2</v>
      </c>
      <c r="D57" s="144">
        <f t="shared" si="14"/>
        <v>2.2251722099999999E-2</v>
      </c>
      <c r="E57" s="29">
        <f t="shared" si="15"/>
        <v>1.94336409E-2</v>
      </c>
      <c r="F57" s="29">
        <f t="shared" si="16"/>
        <v>2.2396988999999999E-2</v>
      </c>
      <c r="G57" s="31">
        <f t="shared" si="17"/>
        <v>2.24214909E-2</v>
      </c>
      <c r="H57" s="34">
        <f t="shared" si="18"/>
        <v>1.92653866E-2</v>
      </c>
      <c r="I57" s="35">
        <f t="shared" si="22"/>
        <v>2.1315484999999999E-2</v>
      </c>
      <c r="J57" s="36">
        <f t="shared" si="23"/>
        <v>2.13319407E-2</v>
      </c>
      <c r="K57" s="34">
        <f t="shared" si="19"/>
        <v>1.9291211199999998E-2</v>
      </c>
      <c r="L57" s="35">
        <f t="shared" si="24"/>
        <v>2.1479765599999999E-2</v>
      </c>
      <c r="M57" s="36">
        <f t="shared" si="25"/>
        <v>2.1497413600000001E-2</v>
      </c>
      <c r="N57" s="38">
        <f t="shared" si="20"/>
        <v>1.9295345200000001E-2</v>
      </c>
      <c r="O57" s="39">
        <f t="shared" si="26"/>
        <v>2.1506121699999999E-2</v>
      </c>
      <c r="P57" s="40">
        <f t="shared" si="27"/>
        <v>2.1523962000000001E-2</v>
      </c>
      <c r="Q57" s="38">
        <f t="shared" si="21"/>
        <v>1.9321195499999999E-2</v>
      </c>
      <c r="R57" s="39">
        <f t="shared" si="28"/>
        <v>2.1671292000000002E-2</v>
      </c>
      <c r="S57" s="38">
        <f t="shared" si="29"/>
        <v>2.1690343599999998E-2</v>
      </c>
      <c r="W57" s="147"/>
      <c r="X57" s="147"/>
      <c r="Y57" s="147"/>
      <c r="Z57" s="147"/>
    </row>
    <row r="58" spans="1:26" x14ac:dyDescent="0.15">
      <c r="A58" s="41">
        <v>54</v>
      </c>
      <c r="B58" s="144">
        <f t="shared" si="12"/>
        <v>1.9058197400000001E-2</v>
      </c>
      <c r="C58" s="144">
        <f t="shared" si="13"/>
        <v>2.1881639500000001E-2</v>
      </c>
      <c r="D58" s="144">
        <f t="shared" si="14"/>
        <v>2.1904495199999999E-2</v>
      </c>
      <c r="E58" s="29">
        <f t="shared" si="15"/>
        <v>1.9084143500000001E-2</v>
      </c>
      <c r="F58" s="29">
        <f t="shared" si="16"/>
        <v>2.2050406200000001E-2</v>
      </c>
      <c r="G58" s="31">
        <f t="shared" si="17"/>
        <v>2.2074528900000001E-2</v>
      </c>
      <c r="H58" s="34">
        <f t="shared" si="18"/>
        <v>1.8915895200000001E-2</v>
      </c>
      <c r="I58" s="35">
        <f t="shared" si="22"/>
        <v>2.09673282E-2</v>
      </c>
      <c r="J58" s="36">
        <f t="shared" si="23"/>
        <v>2.0983515099999999E-2</v>
      </c>
      <c r="K58" s="34">
        <f t="shared" si="19"/>
        <v>1.8941717800000001E-2</v>
      </c>
      <c r="L58" s="35">
        <f t="shared" si="24"/>
        <v>2.1131811100000002E-2</v>
      </c>
      <c r="M58" s="36">
        <f t="shared" si="25"/>
        <v>2.1149173300000001E-2</v>
      </c>
      <c r="N58" s="38">
        <f t="shared" si="20"/>
        <v>1.8945851499999999E-2</v>
      </c>
      <c r="O58" s="39">
        <f t="shared" si="26"/>
        <v>2.1158201000000001E-2</v>
      </c>
      <c r="P58" s="40">
        <f t="shared" si="27"/>
        <v>2.1175752700000001E-2</v>
      </c>
      <c r="Q58" s="38">
        <f t="shared" si="21"/>
        <v>1.89717002E-2</v>
      </c>
      <c r="R58" s="39">
        <f t="shared" si="28"/>
        <v>2.13235905E-2</v>
      </c>
      <c r="S58" s="38">
        <f t="shared" si="29"/>
        <v>2.13423365E-2</v>
      </c>
      <c r="W58" s="147"/>
      <c r="X58" s="147"/>
      <c r="Y58" s="147"/>
      <c r="Z58" s="147"/>
    </row>
    <row r="59" spans="1:26" x14ac:dyDescent="0.15">
      <c r="A59" s="41">
        <v>55</v>
      </c>
      <c r="B59" s="144">
        <f t="shared" si="12"/>
        <v>1.8721412199999999E-2</v>
      </c>
      <c r="C59" s="144">
        <f t="shared" si="13"/>
        <v>2.1547506500000001E-2</v>
      </c>
      <c r="D59" s="144">
        <f t="shared" si="14"/>
        <v>2.15700133E-2</v>
      </c>
      <c r="E59" s="29">
        <f t="shared" si="15"/>
        <v>1.8747358799999999E-2</v>
      </c>
      <c r="F59" s="29">
        <f t="shared" si="16"/>
        <v>2.1716556099999999E-2</v>
      </c>
      <c r="G59" s="31">
        <f t="shared" si="17"/>
        <v>2.1740313599999998E-2</v>
      </c>
      <c r="H59" s="34">
        <f t="shared" si="18"/>
        <v>1.8579114399999999E-2</v>
      </c>
      <c r="I59" s="35">
        <f t="shared" si="22"/>
        <v>2.06318965E-2</v>
      </c>
      <c r="J59" s="36">
        <f t="shared" si="23"/>
        <v>2.0647824499999998E-2</v>
      </c>
      <c r="K59" s="34">
        <f t="shared" si="19"/>
        <v>1.86049353E-2</v>
      </c>
      <c r="L59" s="35">
        <f t="shared" si="24"/>
        <v>2.0796583099999998E-2</v>
      </c>
      <c r="M59" s="36">
        <f t="shared" si="25"/>
        <v>2.08136698E-2</v>
      </c>
      <c r="N59" s="38">
        <f t="shared" si="20"/>
        <v>1.8609068699999998E-2</v>
      </c>
      <c r="O59" s="39">
        <f t="shared" si="26"/>
        <v>2.0823006799999998E-2</v>
      </c>
      <c r="P59" s="40">
        <f t="shared" si="27"/>
        <v>2.0840280400000001E-2</v>
      </c>
      <c r="Q59" s="38">
        <f t="shared" si="21"/>
        <v>1.8634916099999999E-2</v>
      </c>
      <c r="R59" s="39">
        <f t="shared" si="28"/>
        <v>2.0988616799999998E-2</v>
      </c>
      <c r="S59" s="38">
        <f t="shared" si="29"/>
        <v>2.1007068199999999E-2</v>
      </c>
      <c r="W59" s="147"/>
      <c r="X59" s="147"/>
      <c r="Y59" s="147"/>
      <c r="Z59" s="147"/>
    </row>
    <row r="60" spans="1:26" x14ac:dyDescent="0.15">
      <c r="A60" s="41">
        <v>56</v>
      </c>
      <c r="B60" s="144">
        <f t="shared" si="12"/>
        <v>1.8396658199999999E-2</v>
      </c>
      <c r="C60" s="144">
        <f t="shared" si="13"/>
        <v>2.1225423199999999E-2</v>
      </c>
      <c r="D60" s="144">
        <f t="shared" si="14"/>
        <v>2.1247593499999998E-2</v>
      </c>
      <c r="E60" s="29">
        <f t="shared" si="15"/>
        <v>1.8422605700000001E-2</v>
      </c>
      <c r="F60" s="29">
        <f t="shared" si="16"/>
        <v>2.1394756599999998E-2</v>
      </c>
      <c r="G60" s="31">
        <f t="shared" si="17"/>
        <v>2.1418162099999999E-2</v>
      </c>
      <c r="H60" s="34">
        <f t="shared" si="18"/>
        <v>1.82543633E-2</v>
      </c>
      <c r="I60" s="35">
        <f t="shared" si="22"/>
        <v>2.03085083E-2</v>
      </c>
      <c r="J60" s="36">
        <f t="shared" si="23"/>
        <v>2.03241867E-2</v>
      </c>
      <c r="K60" s="34">
        <f t="shared" si="19"/>
        <v>1.8280182700000001E-2</v>
      </c>
      <c r="L60" s="35">
        <f t="shared" si="24"/>
        <v>2.0473399600000001E-2</v>
      </c>
      <c r="M60" s="36">
        <f t="shared" si="25"/>
        <v>2.0490220699999999E-2</v>
      </c>
      <c r="N60" s="38">
        <f t="shared" si="20"/>
        <v>1.8284315999999998E-2</v>
      </c>
      <c r="O60" s="39">
        <f t="shared" si="26"/>
        <v>2.0499857400000002E-2</v>
      </c>
      <c r="P60" s="40">
        <f t="shared" si="27"/>
        <v>2.0516863E-2</v>
      </c>
      <c r="Q60" s="38">
        <f t="shared" si="21"/>
        <v>1.83101624E-2</v>
      </c>
      <c r="R60" s="39">
        <f t="shared" si="28"/>
        <v>2.06656889E-2</v>
      </c>
      <c r="S60" s="38">
        <f t="shared" si="29"/>
        <v>2.06838565E-2</v>
      </c>
      <c r="W60" s="147"/>
      <c r="X60" s="147"/>
      <c r="Y60" s="147"/>
      <c r="Z60" s="147"/>
    </row>
    <row r="61" spans="1:26" x14ac:dyDescent="0.15">
      <c r="A61" s="41">
        <v>57</v>
      </c>
      <c r="B61" s="144">
        <f t="shared" si="12"/>
        <v>1.8083302400000001E-2</v>
      </c>
      <c r="C61" s="144">
        <f t="shared" si="13"/>
        <v>2.0914755100000001E-2</v>
      </c>
      <c r="D61" s="144">
        <f t="shared" si="14"/>
        <v>2.0936600900000001E-2</v>
      </c>
      <c r="E61" s="29">
        <f t="shared" si="15"/>
        <v>1.8109251E-2</v>
      </c>
      <c r="F61" s="29">
        <f t="shared" si="16"/>
        <v>2.10843735E-2</v>
      </c>
      <c r="G61" s="31">
        <f t="shared" si="17"/>
        <v>2.1107439499999998E-2</v>
      </c>
      <c r="H61" s="34">
        <f t="shared" si="18"/>
        <v>1.7941008800000002E-2</v>
      </c>
      <c r="I61" s="35">
        <f t="shared" si="22"/>
        <v>1.9996529700000001E-2</v>
      </c>
      <c r="J61" s="36">
        <f t="shared" si="23"/>
        <v>2.0011967200000001E-2</v>
      </c>
      <c r="K61" s="34">
        <f t="shared" si="19"/>
        <v>1.7966827000000001E-2</v>
      </c>
      <c r="L61" s="35">
        <f t="shared" si="24"/>
        <v>2.0161626700000001E-2</v>
      </c>
      <c r="M61" s="36">
        <f t="shared" si="25"/>
        <v>2.0178191700000001E-2</v>
      </c>
      <c r="N61" s="38">
        <f t="shared" si="20"/>
        <v>1.7970960099999999E-2</v>
      </c>
      <c r="O61" s="39">
        <f t="shared" si="26"/>
        <v>2.01881189E-2</v>
      </c>
      <c r="P61" s="40">
        <f t="shared" si="27"/>
        <v>2.0204865799999999E-2</v>
      </c>
      <c r="Q61" s="38">
        <f t="shared" si="21"/>
        <v>1.7996805899999999E-2</v>
      </c>
      <c r="R61" s="39">
        <f t="shared" si="28"/>
        <v>2.0354172899999998E-2</v>
      </c>
      <c r="S61" s="38">
        <f t="shared" si="29"/>
        <v>2.03720667E-2</v>
      </c>
      <c r="W61" s="147"/>
      <c r="X61" s="147"/>
      <c r="Y61" s="147"/>
      <c r="Z61" s="147"/>
    </row>
    <row r="62" spans="1:26" x14ac:dyDescent="0.15">
      <c r="A62" s="41">
        <v>58</v>
      </c>
      <c r="B62" s="144">
        <f t="shared" si="12"/>
        <v>1.77807551E-2</v>
      </c>
      <c r="C62" s="144">
        <f t="shared" si="13"/>
        <v>2.0614911900000001E-2</v>
      </c>
      <c r="D62" s="144">
        <f t="shared" si="14"/>
        <v>2.06364445E-2</v>
      </c>
      <c r="E62" s="29">
        <f t="shared" si="15"/>
        <v>1.78067051E-2</v>
      </c>
      <c r="F62" s="29">
        <f t="shared" si="16"/>
        <v>2.0784816099999999E-2</v>
      </c>
      <c r="G62" s="31">
        <f t="shared" si="17"/>
        <v>2.0807554400000001E-2</v>
      </c>
      <c r="H62" s="34">
        <f t="shared" si="18"/>
        <v>1.7638461300000002E-2</v>
      </c>
      <c r="I62" s="35">
        <f t="shared" si="22"/>
        <v>1.9695370399999999E-2</v>
      </c>
      <c r="J62" s="36">
        <f t="shared" si="23"/>
        <v>1.9710575399999999E-2</v>
      </c>
      <c r="K62" s="34">
        <f t="shared" si="19"/>
        <v>1.76642786E-2</v>
      </c>
      <c r="L62" s="35">
        <f t="shared" si="24"/>
        <v>1.9860674299999999E-2</v>
      </c>
      <c r="M62" s="36">
        <f t="shared" si="25"/>
        <v>1.9876992E-2</v>
      </c>
      <c r="N62" s="38">
        <f t="shared" si="20"/>
        <v>1.76684116E-2</v>
      </c>
      <c r="O62" s="39">
        <f t="shared" si="26"/>
        <v>1.9887200899999999E-2</v>
      </c>
      <c r="P62" s="40">
        <f t="shared" si="27"/>
        <v>1.99036982E-2</v>
      </c>
      <c r="Q62" s="38">
        <f t="shared" si="21"/>
        <v>1.76942569E-2</v>
      </c>
      <c r="R62" s="39">
        <f t="shared" si="28"/>
        <v>2.0053478499999999E-2</v>
      </c>
      <c r="S62" s="38">
        <f t="shared" si="29"/>
        <v>2.0071107899999999E-2</v>
      </c>
      <c r="W62" s="147"/>
      <c r="X62" s="147"/>
      <c r="Y62" s="147"/>
      <c r="Z62" s="147"/>
    </row>
    <row r="63" spans="1:26" x14ac:dyDescent="0.15">
      <c r="A63" s="41">
        <v>59</v>
      </c>
      <c r="B63" s="144">
        <f t="shared" si="12"/>
        <v>1.74884667E-2</v>
      </c>
      <c r="C63" s="144">
        <f t="shared" si="13"/>
        <v>2.0325342999999999E-2</v>
      </c>
      <c r="D63" s="144">
        <f t="shared" si="14"/>
        <v>2.0346573199999999E-2</v>
      </c>
      <c r="E63" s="29">
        <f t="shared" si="15"/>
        <v>1.7514418300000001E-2</v>
      </c>
      <c r="F63" s="29">
        <f t="shared" si="16"/>
        <v>2.0495533999999999E-2</v>
      </c>
      <c r="G63" s="31">
        <f t="shared" si="17"/>
        <v>2.05179557E-2</v>
      </c>
      <c r="H63" s="34">
        <f t="shared" si="18"/>
        <v>1.7346171300000001E-2</v>
      </c>
      <c r="I63" s="35">
        <f t="shared" si="22"/>
        <v>1.94044804E-2</v>
      </c>
      <c r="J63" s="36">
        <f t="shared" si="23"/>
        <v>1.9419460900000001E-2</v>
      </c>
      <c r="K63" s="34">
        <f t="shared" si="19"/>
        <v>1.7371988000000001E-2</v>
      </c>
      <c r="L63" s="35">
        <f t="shared" si="24"/>
        <v>1.9569992000000001E-2</v>
      </c>
      <c r="M63" s="36">
        <f t="shared" si="25"/>
        <v>1.9586071E-2</v>
      </c>
      <c r="N63" s="38">
        <f t="shared" si="20"/>
        <v>1.73761209E-2</v>
      </c>
      <c r="O63" s="39">
        <f t="shared" si="26"/>
        <v>1.9596553199999998E-2</v>
      </c>
      <c r="P63" s="40">
        <f t="shared" si="27"/>
        <v>1.96128094E-2</v>
      </c>
      <c r="Q63" s="38">
        <f t="shared" si="21"/>
        <v>1.7401966099999999E-2</v>
      </c>
      <c r="R63" s="39">
        <f t="shared" si="28"/>
        <v>1.9763055500000001E-2</v>
      </c>
      <c r="S63" s="38">
        <f t="shared" si="29"/>
        <v>1.9780429499999998E-2</v>
      </c>
      <c r="W63" s="147"/>
      <c r="X63" s="147"/>
      <c r="Y63" s="147"/>
      <c r="Z63" s="147"/>
    </row>
    <row r="64" spans="1:26" x14ac:dyDescent="0.15">
      <c r="A64" s="41">
        <v>60</v>
      </c>
      <c r="B64" s="144">
        <f t="shared" si="12"/>
        <v>1.7205924399999999E-2</v>
      </c>
      <c r="C64" s="144">
        <f t="shared" si="13"/>
        <v>2.0045534699999999E-2</v>
      </c>
      <c r="D64" s="144">
        <f t="shared" si="14"/>
        <v>2.0066472599999999E-2</v>
      </c>
      <c r="E64" s="29">
        <f t="shared" si="15"/>
        <v>1.7231877900000001E-2</v>
      </c>
      <c r="F64" s="29">
        <f t="shared" si="16"/>
        <v>2.0216013200000001E-2</v>
      </c>
      <c r="G64" s="31">
        <f t="shared" si="17"/>
        <v>2.02381292E-2</v>
      </c>
      <c r="H64" s="34">
        <f t="shared" si="18"/>
        <v>1.7063625999999998E-2</v>
      </c>
      <c r="I64" s="35">
        <f t="shared" si="22"/>
        <v>1.9123346199999999E-2</v>
      </c>
      <c r="J64" s="36">
        <f t="shared" si="23"/>
        <v>1.9138109600000001E-2</v>
      </c>
      <c r="K64" s="34">
        <f t="shared" si="19"/>
        <v>1.70894423E-2</v>
      </c>
      <c r="L64" s="35">
        <f t="shared" si="24"/>
        <v>1.92890665E-2</v>
      </c>
      <c r="M64" s="36">
        <f t="shared" si="25"/>
        <v>1.93049146E-2</v>
      </c>
      <c r="N64" s="38">
        <f t="shared" si="20"/>
        <v>1.7093575199999999E-2</v>
      </c>
      <c r="O64" s="39">
        <f t="shared" si="26"/>
        <v>1.9315662399999999E-2</v>
      </c>
      <c r="P64" s="40">
        <f t="shared" si="27"/>
        <v>1.9331685599999999E-2</v>
      </c>
      <c r="Q64" s="38">
        <f t="shared" si="21"/>
        <v>1.71194205E-2</v>
      </c>
      <c r="R64" s="39">
        <f t="shared" si="28"/>
        <v>1.94823901E-2</v>
      </c>
      <c r="S64" s="38">
        <f t="shared" si="29"/>
        <v>1.9499517399999999E-2</v>
      </c>
      <c r="W64" s="147"/>
      <c r="X64" s="147"/>
      <c r="Y64" s="147"/>
      <c r="Z64" s="147"/>
    </row>
    <row r="65" spans="1:17" x14ac:dyDescent="0.15">
      <c r="A65" s="41">
        <v>61</v>
      </c>
      <c r="B65" s="144">
        <f t="shared" si="12"/>
        <v>1.69326487E-2</v>
      </c>
      <c r="E65" s="29">
        <f t="shared" si="15"/>
        <v>1.6958604400000001E-2</v>
      </c>
      <c r="H65" s="34">
        <f t="shared" si="18"/>
        <v>1.6790346099999999E-2</v>
      </c>
      <c r="K65" s="34">
        <f t="shared" si="19"/>
        <v>1.68161623E-2</v>
      </c>
      <c r="N65" s="38">
        <f t="shared" si="20"/>
        <v>1.6820295200000002E-2</v>
      </c>
      <c r="Q65" s="38">
        <f t="shared" si="21"/>
        <v>1.6846140700000001E-2</v>
      </c>
    </row>
    <row r="66" spans="1:17" x14ac:dyDescent="0.15">
      <c r="A66" s="41">
        <v>62</v>
      </c>
      <c r="B66" s="144">
        <f t="shared" si="12"/>
        <v>1.6668191400000001E-2</v>
      </c>
      <c r="E66" s="29">
        <f t="shared" si="15"/>
        <v>1.6694149299999999E-2</v>
      </c>
      <c r="H66" s="34">
        <f t="shared" si="18"/>
        <v>1.65258834E-2</v>
      </c>
      <c r="K66" s="34">
        <f t="shared" si="19"/>
        <v>1.6551699499999999E-2</v>
      </c>
      <c r="N66" s="38">
        <f t="shared" si="20"/>
        <v>1.6555832499999999E-2</v>
      </c>
      <c r="Q66" s="38">
        <f t="shared" si="21"/>
        <v>1.65816786E-2</v>
      </c>
    </row>
    <row r="67" spans="1:17" x14ac:dyDescent="0.15">
      <c r="A67" s="41">
        <v>63</v>
      </c>
      <c r="B67" s="144">
        <f t="shared" si="12"/>
        <v>1.6412132400000001E-2</v>
      </c>
      <c r="E67" s="29">
        <f t="shared" si="15"/>
        <v>1.64380929E-2</v>
      </c>
      <c r="H67" s="34">
        <f t="shared" si="18"/>
        <v>1.6269817799999999E-2</v>
      </c>
      <c r="K67" s="34">
        <f t="shared" si="19"/>
        <v>1.6295634199999999E-2</v>
      </c>
      <c r="N67" s="38">
        <f t="shared" si="20"/>
        <v>1.62997673E-2</v>
      </c>
      <c r="Q67" s="38">
        <f t="shared" si="21"/>
        <v>1.63256141E-2</v>
      </c>
    </row>
    <row r="68" spans="1:17" x14ac:dyDescent="0.15">
      <c r="A68" s="41">
        <v>64</v>
      </c>
      <c r="B68" s="144">
        <f t="shared" si="12"/>
        <v>1.6164078200000001E-2</v>
      </c>
      <c r="E68" s="29">
        <f t="shared" si="15"/>
        <v>1.6190041400000001E-2</v>
      </c>
      <c r="H68" s="34">
        <f t="shared" si="18"/>
        <v>1.60217559E-2</v>
      </c>
      <c r="K68" s="34">
        <f t="shared" si="19"/>
        <v>1.60475728E-2</v>
      </c>
      <c r="N68" s="38">
        <f t="shared" si="20"/>
        <v>1.6051705900000001E-2</v>
      </c>
      <c r="Q68" s="38">
        <f t="shared" si="21"/>
        <v>1.60775537E-2</v>
      </c>
    </row>
    <row r="69" spans="1:17" x14ac:dyDescent="0.15">
      <c r="A69" s="41">
        <v>65</v>
      </c>
      <c r="B69" s="144">
        <f t="shared" si="12"/>
        <v>1.5923659199999999E-2</v>
      </c>
      <c r="E69" s="29">
        <f t="shared" si="15"/>
        <v>1.59496254E-2</v>
      </c>
      <c r="H69" s="34">
        <f t="shared" si="18"/>
        <v>1.5781328099999999E-2</v>
      </c>
      <c r="K69" s="34">
        <f t="shared" si="19"/>
        <v>1.5807145700000001E-2</v>
      </c>
      <c r="N69" s="38">
        <f t="shared" si="20"/>
        <v>1.5811279000000001E-2</v>
      </c>
      <c r="Q69" s="38">
        <f t="shared" si="21"/>
        <v>1.5837127900000001E-2</v>
      </c>
    </row>
    <row r="70" spans="1:17" x14ac:dyDescent="0.15">
      <c r="A70" s="41">
        <v>66</v>
      </c>
      <c r="B70" s="144">
        <f t="shared" ref="B70:B133" si="30">ROUND(D$2*(1+D$2)^$A70/((1+D$2)^$A70-1),10)</f>
        <v>1.5690528400000001E-2</v>
      </c>
      <c r="E70" s="29">
        <f t="shared" ref="E70:E133" si="31">ROUND(G$2*(1+G$2)^$A70/((1+G$2)^$A70-1),10)</f>
        <v>1.5716497699999998E-2</v>
      </c>
      <c r="H70" s="34">
        <f t="shared" si="18"/>
        <v>1.5548187600000001E-2</v>
      </c>
      <c r="K70" s="34">
        <f t="shared" si="19"/>
        <v>1.5574006E-2</v>
      </c>
      <c r="N70" s="38">
        <f t="shared" si="20"/>
        <v>1.5578139499999999E-2</v>
      </c>
      <c r="Q70" s="38">
        <f t="shared" si="21"/>
        <v>1.5603989699999999E-2</v>
      </c>
    </row>
    <row r="71" spans="1:17" x14ac:dyDescent="0.15">
      <c r="A71" s="41">
        <v>67</v>
      </c>
      <c r="B71" s="144">
        <f t="shared" si="30"/>
        <v>1.54643595E-2</v>
      </c>
      <c r="E71" s="29">
        <f t="shared" si="31"/>
        <v>1.54903321E-2</v>
      </c>
      <c r="H71" s="34">
        <f t="shared" si="18"/>
        <v>1.5322008E-2</v>
      </c>
      <c r="K71" s="34">
        <f t="shared" si="19"/>
        <v>1.53478274E-2</v>
      </c>
      <c r="N71" s="38">
        <f t="shared" si="20"/>
        <v>1.53519611E-2</v>
      </c>
      <c r="Q71" s="38">
        <f t="shared" si="21"/>
        <v>1.53778128E-2</v>
      </c>
    </row>
    <row r="72" spans="1:17" x14ac:dyDescent="0.15">
      <c r="A72" s="41">
        <v>68</v>
      </c>
      <c r="B72" s="144">
        <f t="shared" si="30"/>
        <v>1.52448453E-2</v>
      </c>
      <c r="E72" s="29">
        <f t="shared" si="31"/>
        <v>1.5270821400000001E-2</v>
      </c>
      <c r="H72" s="34">
        <f t="shared" si="18"/>
        <v>1.51024822E-2</v>
      </c>
      <c r="K72" s="34">
        <f t="shared" si="19"/>
        <v>1.51283028E-2</v>
      </c>
      <c r="N72" s="38">
        <f t="shared" si="20"/>
        <v>1.51324367E-2</v>
      </c>
      <c r="Q72" s="38">
        <f t="shared" si="21"/>
        <v>1.5158290099999999E-2</v>
      </c>
    </row>
    <row r="73" spans="1:17" x14ac:dyDescent="0.15">
      <c r="A73" s="41">
        <v>69</v>
      </c>
      <c r="B73" s="144">
        <f t="shared" si="30"/>
        <v>1.50316965E-2</v>
      </c>
      <c r="E73" s="29">
        <f t="shared" si="31"/>
        <v>1.50576762E-2</v>
      </c>
      <c r="H73" s="34">
        <f t="shared" si="18"/>
        <v>1.4889320899999999E-2</v>
      </c>
      <c r="K73" s="34">
        <f t="shared" si="19"/>
        <v>1.49151428E-2</v>
      </c>
      <c r="N73" s="38">
        <f t="shared" si="20"/>
        <v>1.4919277E-2</v>
      </c>
      <c r="Q73" s="38">
        <f t="shared" si="21"/>
        <v>1.4945132200000001E-2</v>
      </c>
    </row>
    <row r="74" spans="1:17" x14ac:dyDescent="0.15">
      <c r="A74" s="41">
        <v>70</v>
      </c>
      <c r="B74" s="144">
        <f t="shared" si="30"/>
        <v>1.4824640300000001E-2</v>
      </c>
      <c r="E74" s="29">
        <f t="shared" si="31"/>
        <v>1.4850623699999999E-2</v>
      </c>
      <c r="H74" s="34">
        <f t="shared" si="18"/>
        <v>1.46822514E-2</v>
      </c>
      <c r="K74" s="34">
        <f t="shared" si="19"/>
        <v>1.47080748E-2</v>
      </c>
      <c r="N74" s="38">
        <f t="shared" si="20"/>
        <v>1.47122092E-2</v>
      </c>
      <c r="Q74" s="38">
        <f t="shared" si="21"/>
        <v>1.4738066399999999E-2</v>
      </c>
    </row>
    <row r="75" spans="1:17" x14ac:dyDescent="0.15">
      <c r="A75" s="41">
        <v>71</v>
      </c>
      <c r="B75" s="144">
        <f t="shared" si="30"/>
        <v>1.46234192E-2</v>
      </c>
      <c r="E75" s="29">
        <f t="shared" si="31"/>
        <v>1.46494066E-2</v>
      </c>
      <c r="H75" s="34">
        <f t="shared" si="18"/>
        <v>1.44810162E-2</v>
      </c>
      <c r="K75" s="34">
        <f t="shared" si="19"/>
        <v>1.45068412E-2</v>
      </c>
      <c r="N75" s="38">
        <f t="shared" si="20"/>
        <v>1.4510976E-2</v>
      </c>
      <c r="Q75" s="38">
        <f t="shared" si="21"/>
        <v>1.45368353E-2</v>
      </c>
    </row>
    <row r="76" spans="1:17" x14ac:dyDescent="0.15">
      <c r="A76" s="41">
        <v>72</v>
      </c>
      <c r="B76" s="144">
        <f t="shared" si="30"/>
        <v>1.44277902E-2</v>
      </c>
      <c r="E76" s="29">
        <f t="shared" si="31"/>
        <v>1.44537816E-2</v>
      </c>
      <c r="H76" s="34">
        <f t="shared" si="18"/>
        <v>1.42853723E-2</v>
      </c>
      <c r="K76" s="34">
        <f t="shared" si="19"/>
        <v>1.43111991E-2</v>
      </c>
      <c r="N76" s="38">
        <f t="shared" si="20"/>
        <v>1.43153342E-2</v>
      </c>
      <c r="Q76" s="38">
        <f t="shared" si="21"/>
        <v>1.43411957E-2</v>
      </c>
    </row>
    <row r="77" spans="1:17" x14ac:dyDescent="0.15">
      <c r="A77" s="41">
        <v>73</v>
      </c>
      <c r="B77" s="144">
        <f t="shared" si="30"/>
        <v>1.42375234E-2</v>
      </c>
      <c r="E77" s="29">
        <f t="shared" si="31"/>
        <v>1.4263519000000001E-2</v>
      </c>
      <c r="H77" s="34">
        <f t="shared" si="18"/>
        <v>1.40950899E-2</v>
      </c>
      <c r="K77" s="34">
        <f t="shared" si="19"/>
        <v>1.4120918600000001E-2</v>
      </c>
      <c r="N77" s="38">
        <f t="shared" si="20"/>
        <v>1.4125054E-2</v>
      </c>
      <c r="Q77" s="38">
        <f t="shared" si="21"/>
        <v>1.4150917900000001E-2</v>
      </c>
    </row>
    <row r="78" spans="1:17" x14ac:dyDescent="0.15">
      <c r="A78" s="41">
        <v>74</v>
      </c>
      <c r="B78" s="144">
        <f t="shared" si="30"/>
        <v>1.4052401399999999E-2</v>
      </c>
      <c r="E78" s="29">
        <f t="shared" si="31"/>
        <v>1.40784013E-2</v>
      </c>
      <c r="H78" s="34">
        <f t="shared" si="18"/>
        <v>1.39099515E-2</v>
      </c>
      <c r="K78" s="34">
        <f t="shared" si="19"/>
        <v>1.39357823E-2</v>
      </c>
      <c r="N78" s="38">
        <f t="shared" si="20"/>
        <v>1.3939918000000001E-2</v>
      </c>
      <c r="Q78" s="38">
        <f t="shared" si="21"/>
        <v>1.39657845E-2</v>
      </c>
    </row>
    <row r="79" spans="1:17" x14ac:dyDescent="0.15">
      <c r="A79" s="41">
        <v>75</v>
      </c>
      <c r="B79" s="144">
        <f t="shared" si="30"/>
        <v>1.3872218400000001E-2</v>
      </c>
      <c r="E79" s="29">
        <f t="shared" si="31"/>
        <v>1.38982228E-2</v>
      </c>
      <c r="H79" s="34">
        <f t="shared" si="18"/>
        <v>1.3729751599999999E-2</v>
      </c>
      <c r="K79" s="34">
        <f t="shared" si="19"/>
        <v>1.3755584499999999E-2</v>
      </c>
      <c r="N79" s="38">
        <f t="shared" si="20"/>
        <v>1.3759720600000001E-2</v>
      </c>
      <c r="Q79" s="38">
        <f t="shared" si="21"/>
        <v>1.37855897E-2</v>
      </c>
    </row>
    <row r="80" spans="1:17" x14ac:dyDescent="0.15">
      <c r="A80" s="41">
        <v>76</v>
      </c>
      <c r="B80" s="144">
        <f t="shared" si="30"/>
        <v>1.3696779500000001E-2</v>
      </c>
      <c r="E80" s="29">
        <f t="shared" si="31"/>
        <v>1.3722788499999999E-2</v>
      </c>
      <c r="H80" s="34">
        <f t="shared" si="18"/>
        <v>1.3554294999999999E-2</v>
      </c>
      <c r="K80" s="34">
        <f t="shared" si="19"/>
        <v>1.35801302E-2</v>
      </c>
      <c r="N80" s="38">
        <f t="shared" si="20"/>
        <v>1.35842667E-2</v>
      </c>
      <c r="Q80" s="38">
        <f t="shared" si="21"/>
        <v>1.36101386E-2</v>
      </c>
    </row>
    <row r="81" spans="1:17" x14ac:dyDescent="0.15">
      <c r="A81" s="41">
        <v>77</v>
      </c>
      <c r="B81" s="144">
        <f t="shared" si="30"/>
        <v>1.3525899900000001E-2</v>
      </c>
      <c r="E81" s="29">
        <f t="shared" si="31"/>
        <v>1.35519135E-2</v>
      </c>
      <c r="H81" s="34">
        <f t="shared" si="18"/>
        <v>1.33833971E-2</v>
      </c>
      <c r="K81" s="34">
        <f t="shared" si="19"/>
        <v>1.34092346E-2</v>
      </c>
      <c r="N81" s="38">
        <f t="shared" si="20"/>
        <v>1.34133716E-2</v>
      </c>
      <c r="Q81" s="38">
        <f t="shared" si="21"/>
        <v>1.3439246300000001E-2</v>
      </c>
    </row>
    <row r="82" spans="1:17" x14ac:dyDescent="0.15">
      <c r="A82" s="41">
        <v>78</v>
      </c>
      <c r="B82" s="144">
        <f t="shared" si="30"/>
        <v>1.33594041E-2</v>
      </c>
      <c r="E82" s="29">
        <f t="shared" si="31"/>
        <v>1.3385422500000001E-2</v>
      </c>
      <c r="H82" s="34">
        <f t="shared" si="18"/>
        <v>1.3216882399999999E-2</v>
      </c>
      <c r="K82" s="34">
        <f t="shared" si="19"/>
        <v>1.32427225E-2</v>
      </c>
      <c r="N82" s="38">
        <f t="shared" si="20"/>
        <v>1.32468599E-2</v>
      </c>
      <c r="Q82" s="38">
        <f t="shared" si="21"/>
        <v>1.3272737600000001E-2</v>
      </c>
    </row>
    <row r="83" spans="1:17" x14ac:dyDescent="0.15">
      <c r="A83" s="41">
        <v>79</v>
      </c>
      <c r="B83" s="144">
        <f t="shared" si="30"/>
        <v>1.3197125699999999E-2</v>
      </c>
      <c r="E83" s="29">
        <f t="shared" si="31"/>
        <v>1.32231491E-2</v>
      </c>
      <c r="H83" s="34">
        <f t="shared" si="18"/>
        <v>1.30545846E-2</v>
      </c>
      <c r="K83" s="34">
        <f t="shared" si="19"/>
        <v>1.3080427299999999E-2</v>
      </c>
      <c r="N83" s="38">
        <f t="shared" si="20"/>
        <v>1.3084565100000001E-2</v>
      </c>
      <c r="Q83" s="38">
        <f t="shared" si="21"/>
        <v>1.31104459E-2</v>
      </c>
    </row>
    <row r="84" spans="1:17" x14ac:dyDescent="0.15">
      <c r="A84" s="41">
        <v>80</v>
      </c>
      <c r="B84" s="144">
        <f t="shared" si="30"/>
        <v>1.30389066E-2</v>
      </c>
      <c r="E84" s="29">
        <f t="shared" si="31"/>
        <v>1.30649349E-2</v>
      </c>
      <c r="H84" s="34">
        <f t="shared" si="18"/>
        <v>1.28963455E-2</v>
      </c>
      <c r="K84" s="34">
        <f t="shared" si="19"/>
        <v>1.29221908E-2</v>
      </c>
      <c r="N84" s="38">
        <f t="shared" si="20"/>
        <v>1.2926329199999999E-2</v>
      </c>
      <c r="Q84" s="38">
        <f t="shared" si="21"/>
        <v>1.29522131E-2</v>
      </c>
    </row>
    <row r="85" spans="1:17" x14ac:dyDescent="0.15">
      <c r="A85" s="41">
        <v>81</v>
      </c>
      <c r="B85" s="144">
        <f t="shared" si="30"/>
        <v>1.28845964E-2</v>
      </c>
      <c r="E85" s="29">
        <f t="shared" si="31"/>
        <v>1.29106298E-2</v>
      </c>
      <c r="H85" s="34">
        <f t="shared" ref="H85:H148" si="32">ROUND(J$2*(1+J$2)^$A85/((1+J$2)^$A85-1),10)</f>
        <v>1.27420147E-2</v>
      </c>
      <c r="K85" s="34">
        <f t="shared" ref="K85:K148" si="33">ROUND(M$2*(1+M$2)^$A85/((1+M$2)^$A85-1),10)</f>
        <v>1.2767862899999999E-2</v>
      </c>
      <c r="N85" s="38">
        <f t="shared" ref="N85:N148" si="34">ROUND(P$2*(1+P$2)^$A85/((1+P$2)^$A85-1),10)</f>
        <v>1.2772001700000001E-2</v>
      </c>
      <c r="Q85" s="38">
        <f t="shared" ref="Q85:Q148" si="35">ROUND(S$2*(1+S$2)^$A85/((1+S$2)^$A85-1),10)</f>
        <v>1.2797889E-2</v>
      </c>
    </row>
    <row r="86" spans="1:17" x14ac:dyDescent="0.15">
      <c r="A86" s="41">
        <v>82</v>
      </c>
      <c r="B86" s="144">
        <f t="shared" si="30"/>
        <v>1.2734052100000001E-2</v>
      </c>
      <c r="E86" s="29">
        <f t="shared" si="31"/>
        <v>1.2760090700000001E-2</v>
      </c>
      <c r="H86" s="34">
        <f t="shared" si="32"/>
        <v>1.2591449399999999E-2</v>
      </c>
      <c r="K86" s="34">
        <f t="shared" si="33"/>
        <v>1.26173004E-2</v>
      </c>
      <c r="N86" s="38">
        <f t="shared" si="34"/>
        <v>1.2621439700000001E-2</v>
      </c>
      <c r="Q86" s="38">
        <f t="shared" si="35"/>
        <v>1.26473304E-2</v>
      </c>
    </row>
    <row r="87" spans="1:17" x14ac:dyDescent="0.15">
      <c r="A87" s="41">
        <v>83</v>
      </c>
      <c r="B87" s="144">
        <f t="shared" si="30"/>
        <v>1.2587137599999999E-2</v>
      </c>
      <c r="E87" s="29">
        <f t="shared" si="31"/>
        <v>1.2613181500000001E-2</v>
      </c>
      <c r="H87" s="34">
        <f t="shared" si="32"/>
        <v>1.24445133E-2</v>
      </c>
      <c r="K87" s="34">
        <f t="shared" si="33"/>
        <v>1.24703673E-2</v>
      </c>
      <c r="N87" s="38">
        <f t="shared" si="34"/>
        <v>1.24745072E-2</v>
      </c>
      <c r="Q87" s="38">
        <f t="shared" si="35"/>
        <v>1.25004013E-2</v>
      </c>
    </row>
    <row r="88" spans="1:17" x14ac:dyDescent="0.15">
      <c r="A88" s="41">
        <v>84</v>
      </c>
      <c r="B88" s="144">
        <f t="shared" si="30"/>
        <v>1.2443723300000001E-2</v>
      </c>
      <c r="E88" s="29">
        <f t="shared" si="31"/>
        <v>1.24697725E-2</v>
      </c>
      <c r="H88" s="34">
        <f t="shared" si="32"/>
        <v>1.2301076899999999E-2</v>
      </c>
      <c r="K88" s="34">
        <f t="shared" si="33"/>
        <v>1.2326933999999999E-2</v>
      </c>
      <c r="N88" s="38">
        <f t="shared" si="34"/>
        <v>1.2331074399999999E-2</v>
      </c>
      <c r="Q88" s="38">
        <f t="shared" si="35"/>
        <v>1.2356972000000001E-2</v>
      </c>
    </row>
    <row r="89" spans="1:17" x14ac:dyDescent="0.15">
      <c r="A89" s="41">
        <v>85</v>
      </c>
      <c r="B89" s="144">
        <f t="shared" si="30"/>
        <v>1.23036855E-2</v>
      </c>
      <c r="E89" s="29">
        <f t="shared" si="31"/>
        <v>1.23297402E-2</v>
      </c>
      <c r="H89" s="34">
        <f t="shared" si="32"/>
        <v>1.21610166E-2</v>
      </c>
      <c r="K89" s="34">
        <f t="shared" si="33"/>
        <v>1.2186876899999999E-2</v>
      </c>
      <c r="N89" s="38">
        <f t="shared" si="34"/>
        <v>1.21910178E-2</v>
      </c>
      <c r="Q89" s="38">
        <f t="shared" si="35"/>
        <v>1.2216919099999999E-2</v>
      </c>
    </row>
    <row r="90" spans="1:17" x14ac:dyDescent="0.15">
      <c r="A90" s="41">
        <v>86</v>
      </c>
      <c r="B90" s="144">
        <f t="shared" si="30"/>
        <v>1.2166906599999999E-2</v>
      </c>
      <c r="E90" s="29">
        <f t="shared" si="31"/>
        <v>1.21929668E-2</v>
      </c>
      <c r="H90" s="34">
        <f t="shared" si="32"/>
        <v>1.2024214700000001E-2</v>
      </c>
      <c r="K90" s="34">
        <f t="shared" si="33"/>
        <v>1.20500782E-2</v>
      </c>
      <c r="N90" s="38">
        <f t="shared" si="34"/>
        <v>1.20542197E-2</v>
      </c>
      <c r="Q90" s="38">
        <f t="shared" si="35"/>
        <v>1.20801247E-2</v>
      </c>
    </row>
    <row r="91" spans="1:17" x14ac:dyDescent="0.15">
      <c r="A91" s="41">
        <v>87</v>
      </c>
      <c r="B91" s="144">
        <f t="shared" si="30"/>
        <v>1.20332741E-2</v>
      </c>
      <c r="E91" s="29">
        <f t="shared" si="31"/>
        <v>1.20593399E-2</v>
      </c>
      <c r="H91" s="34">
        <f t="shared" si="32"/>
        <v>1.1890558799999999E-2</v>
      </c>
      <c r="K91" s="34">
        <f t="shared" si="33"/>
        <v>1.19164257E-2</v>
      </c>
      <c r="N91" s="38">
        <f t="shared" si="34"/>
        <v>1.1920567700000001E-2</v>
      </c>
      <c r="Q91" s="38">
        <f t="shared" si="35"/>
        <v>1.1946476500000001E-2</v>
      </c>
    </row>
    <row r="92" spans="1:17" x14ac:dyDescent="0.15">
      <c r="A92" s="41">
        <v>88</v>
      </c>
      <c r="B92" s="144">
        <f t="shared" si="30"/>
        <v>1.1902680800000001E-2</v>
      </c>
      <c r="E92" s="29">
        <f t="shared" si="31"/>
        <v>1.19287523E-2</v>
      </c>
      <c r="H92" s="34">
        <f t="shared" si="32"/>
        <v>1.17599417E-2</v>
      </c>
      <c r="K92" s="34">
        <f t="shared" si="33"/>
        <v>1.1785812E-2</v>
      </c>
      <c r="N92" s="38">
        <f t="shared" si="34"/>
        <v>1.1789954599999999E-2</v>
      </c>
      <c r="Q92" s="38">
        <f t="shared" si="35"/>
        <v>1.18158673E-2</v>
      </c>
    </row>
    <row r="93" spans="1:17" x14ac:dyDescent="0.15">
      <c r="A93" s="41">
        <v>89</v>
      </c>
      <c r="B93" s="144">
        <f t="shared" si="30"/>
        <v>1.1775024300000001E-2</v>
      </c>
      <c r="E93" s="29">
        <f t="shared" si="31"/>
        <v>1.1801101499999999E-2</v>
      </c>
      <c r="H93" s="34">
        <f t="shared" si="32"/>
        <v>1.1632261E-2</v>
      </c>
      <c r="K93" s="34">
        <f t="shared" si="33"/>
        <v>1.1658134699999999E-2</v>
      </c>
      <c r="N93" s="38">
        <f t="shared" si="34"/>
        <v>1.16622779E-2</v>
      </c>
      <c r="Q93" s="38">
        <f t="shared" si="35"/>
        <v>1.16881945E-2</v>
      </c>
    </row>
    <row r="94" spans="1:17" x14ac:dyDescent="0.15">
      <c r="A94" s="41">
        <v>90</v>
      </c>
      <c r="B94" s="144">
        <f t="shared" si="30"/>
        <v>1.1650206600000001E-2</v>
      </c>
      <c r="E94" s="29">
        <f t="shared" si="31"/>
        <v>1.16762896E-2</v>
      </c>
      <c r="H94" s="34">
        <f t="shared" si="32"/>
        <v>1.1507418700000001E-2</v>
      </c>
      <c r="K94" s="34">
        <f t="shared" si="33"/>
        <v>1.1533295900000001E-2</v>
      </c>
      <c r="N94" s="38">
        <f t="shared" si="34"/>
        <v>1.15374398E-2</v>
      </c>
      <c r="Q94" s="38">
        <f t="shared" si="35"/>
        <v>1.15633604E-2</v>
      </c>
    </row>
    <row r="95" spans="1:17" x14ac:dyDescent="0.15">
      <c r="A95" s="41">
        <v>91</v>
      </c>
      <c r="B95" s="144">
        <f t="shared" si="30"/>
        <v>1.15281342E-2</v>
      </c>
      <c r="E95" s="29">
        <f t="shared" si="31"/>
        <v>1.15542231E-2</v>
      </c>
      <c r="H95" s="34">
        <f t="shared" si="32"/>
        <v>1.1385321300000001E-2</v>
      </c>
      <c r="K95" s="34">
        <f t="shared" si="33"/>
        <v>1.14112021E-2</v>
      </c>
      <c r="N95" s="38">
        <f t="shared" si="34"/>
        <v>1.1415346599999999E-2</v>
      </c>
      <c r="Q95" s="38">
        <f t="shared" si="35"/>
        <v>1.14412713E-2</v>
      </c>
    </row>
    <row r="96" spans="1:17" x14ac:dyDescent="0.15">
      <c r="A96" s="41">
        <v>92</v>
      </c>
      <c r="B96" s="144">
        <f t="shared" si="30"/>
        <v>1.14087175E-2</v>
      </c>
      <c r="E96" s="29">
        <f t="shared" si="31"/>
        <v>1.1434812399999999E-2</v>
      </c>
      <c r="H96" s="34">
        <f t="shared" si="32"/>
        <v>1.12658792E-2</v>
      </c>
      <c r="K96" s="34">
        <f t="shared" si="33"/>
        <v>1.12917638E-2</v>
      </c>
      <c r="N96" s="38">
        <f t="shared" si="34"/>
        <v>1.1295908800000001E-2</v>
      </c>
      <c r="Q96" s="38">
        <f t="shared" si="35"/>
        <v>1.13218377E-2</v>
      </c>
    </row>
    <row r="97" spans="1:17" x14ac:dyDescent="0.15">
      <c r="A97" s="41">
        <v>93</v>
      </c>
      <c r="B97" s="144">
        <f t="shared" si="30"/>
        <v>1.1291870900000001E-2</v>
      </c>
      <c r="E97" s="29">
        <f t="shared" si="31"/>
        <v>1.13179718E-2</v>
      </c>
      <c r="H97" s="34">
        <f t="shared" si="32"/>
        <v>1.1149006899999999E-2</v>
      </c>
      <c r="K97" s="34">
        <f t="shared" si="33"/>
        <v>1.11748952E-2</v>
      </c>
      <c r="N97" s="38">
        <f t="shared" si="34"/>
        <v>1.1179040899999999E-2</v>
      </c>
      <c r="Q97" s="38">
        <f t="shared" si="35"/>
        <v>1.1204973999999999E-2</v>
      </c>
    </row>
    <row r="98" spans="1:17" x14ac:dyDescent="0.15">
      <c r="A98" s="41">
        <v>94</v>
      </c>
      <c r="B98" s="144">
        <f t="shared" si="30"/>
        <v>1.1177512299999999E-2</v>
      </c>
      <c r="E98" s="29">
        <f t="shared" si="31"/>
        <v>1.12036193E-2</v>
      </c>
      <c r="H98" s="34">
        <f t="shared" si="32"/>
        <v>1.10346223E-2</v>
      </c>
      <c r="K98" s="34">
        <f t="shared" si="33"/>
        <v>1.1060514400000001E-2</v>
      </c>
      <c r="N98" s="38">
        <f t="shared" si="34"/>
        <v>1.1064660800000001E-2</v>
      </c>
      <c r="Q98" s="38">
        <f t="shared" si="35"/>
        <v>1.1090598199999999E-2</v>
      </c>
    </row>
    <row r="99" spans="1:17" x14ac:dyDescent="0.15">
      <c r="A99" s="41">
        <v>95</v>
      </c>
      <c r="B99" s="144">
        <f t="shared" si="30"/>
        <v>1.10655632E-2</v>
      </c>
      <c r="E99" s="29">
        <f t="shared" si="31"/>
        <v>1.10916764E-2</v>
      </c>
      <c r="H99" s="34">
        <f t="shared" si="32"/>
        <v>1.0922646899999999E-2</v>
      </c>
      <c r="K99" s="34">
        <f t="shared" si="33"/>
        <v>1.0948542800000001E-2</v>
      </c>
      <c r="N99" s="38">
        <f t="shared" si="34"/>
        <v>1.09526898E-2</v>
      </c>
      <c r="Q99" s="38">
        <f t="shared" si="35"/>
        <v>1.09786316E-2</v>
      </c>
    </row>
    <row r="100" spans="1:17" x14ac:dyDescent="0.15">
      <c r="A100" s="41">
        <v>96</v>
      </c>
      <c r="B100" s="144">
        <f t="shared" si="30"/>
        <v>1.0955948300000001E-2</v>
      </c>
      <c r="E100" s="29">
        <f t="shared" si="31"/>
        <v>1.0982067700000001E-2</v>
      </c>
      <c r="H100" s="34">
        <f t="shared" si="32"/>
        <v>1.0813005299999999E-2</v>
      </c>
      <c r="K100" s="34">
        <f t="shared" si="33"/>
        <v>1.0838905100000001E-2</v>
      </c>
      <c r="N100" s="38">
        <f t="shared" si="34"/>
        <v>1.0843052800000001E-2</v>
      </c>
      <c r="Q100" s="38">
        <f t="shared" si="35"/>
        <v>1.0868999000000001E-2</v>
      </c>
    </row>
    <row r="101" spans="1:17" x14ac:dyDescent="0.15">
      <c r="A101" s="41">
        <v>97</v>
      </c>
      <c r="B101" s="144">
        <f t="shared" si="30"/>
        <v>1.0848595399999999E-2</v>
      </c>
      <c r="E101" s="29">
        <f t="shared" si="31"/>
        <v>1.0874721E-2</v>
      </c>
      <c r="H101" s="34">
        <f t="shared" si="32"/>
        <v>1.07056254E-2</v>
      </c>
      <c r="K101" s="34">
        <f t="shared" si="33"/>
        <v>1.0731529199999999E-2</v>
      </c>
      <c r="N101" s="38">
        <f t="shared" si="34"/>
        <v>1.07356776E-2</v>
      </c>
      <c r="Q101" s="38">
        <f t="shared" si="35"/>
        <v>1.07616282E-2</v>
      </c>
    </row>
    <row r="102" spans="1:17" x14ac:dyDescent="0.15">
      <c r="A102" s="41">
        <v>98</v>
      </c>
      <c r="B102" s="144">
        <f t="shared" si="30"/>
        <v>1.07434353E-2</v>
      </c>
      <c r="E102" s="29">
        <f t="shared" si="31"/>
        <v>1.07695672E-2</v>
      </c>
      <c r="H102" s="34">
        <f t="shared" si="32"/>
        <v>1.0600437900000001E-2</v>
      </c>
      <c r="K102" s="34">
        <f t="shared" si="33"/>
        <v>1.0626345800000001E-2</v>
      </c>
      <c r="N102" s="38">
        <f t="shared" si="34"/>
        <v>1.0630494799999999E-2</v>
      </c>
      <c r="Q102" s="38">
        <f t="shared" si="35"/>
        <v>1.06564499E-2</v>
      </c>
    </row>
    <row r="103" spans="1:17" x14ac:dyDescent="0.15">
      <c r="A103" s="41">
        <v>99</v>
      </c>
      <c r="B103" s="144">
        <f t="shared" si="30"/>
        <v>1.0640401400000001E-2</v>
      </c>
      <c r="E103" s="29">
        <f t="shared" si="31"/>
        <v>1.06665397E-2</v>
      </c>
      <c r="H103" s="34">
        <f t="shared" si="32"/>
        <v>1.0497376500000001E-2</v>
      </c>
      <c r="K103" s="34">
        <f t="shared" si="33"/>
        <v>1.0523288400000001E-2</v>
      </c>
      <c r="N103" s="38">
        <f t="shared" si="34"/>
        <v>1.05274381E-2</v>
      </c>
      <c r="Q103" s="38">
        <f t="shared" si="35"/>
        <v>1.0553397799999999E-2</v>
      </c>
    </row>
    <row r="104" spans="1:17" x14ac:dyDescent="0.15">
      <c r="A104" s="41">
        <v>100</v>
      </c>
      <c r="B104" s="144">
        <f t="shared" si="30"/>
        <v>1.05394301E-2</v>
      </c>
      <c r="E104" s="29">
        <f t="shared" si="31"/>
        <v>1.05655748E-2</v>
      </c>
      <c r="H104" s="34">
        <f t="shared" si="32"/>
        <v>1.0396377300000001E-2</v>
      </c>
      <c r="K104" s="34">
        <f t="shared" si="33"/>
        <v>1.04222933E-2</v>
      </c>
      <c r="N104" s="38">
        <f t="shared" si="34"/>
        <v>1.0426443800000001E-2</v>
      </c>
      <c r="Q104" s="38">
        <f t="shared" si="35"/>
        <v>1.0452408E-2</v>
      </c>
    </row>
    <row r="105" spans="1:17" x14ac:dyDescent="0.15">
      <c r="A105" s="41">
        <v>101</v>
      </c>
      <c r="B105" s="144">
        <f t="shared" si="30"/>
        <v>1.044046E-2</v>
      </c>
      <c r="E105" s="29">
        <f t="shared" si="31"/>
        <v>1.04666111E-2</v>
      </c>
      <c r="H105" s="34">
        <f t="shared" si="32"/>
        <v>1.0297379000000001E-2</v>
      </c>
      <c r="K105" s="34">
        <f t="shared" si="33"/>
        <v>1.03232993E-2</v>
      </c>
      <c r="N105" s="38">
        <f t="shared" si="34"/>
        <v>1.03274504E-2</v>
      </c>
      <c r="Q105" s="38">
        <f t="shared" si="35"/>
        <v>1.0353419399999999E-2</v>
      </c>
    </row>
    <row r="106" spans="1:17" x14ac:dyDescent="0.15">
      <c r="A106" s="41">
        <v>102</v>
      </c>
      <c r="B106" s="144">
        <f t="shared" si="30"/>
        <v>1.03434323E-2</v>
      </c>
      <c r="E106" s="29">
        <f t="shared" si="31"/>
        <v>1.03695899E-2</v>
      </c>
      <c r="H106" s="34">
        <f t="shared" si="32"/>
        <v>1.0200322899999999E-2</v>
      </c>
      <c r="K106" s="34">
        <f t="shared" si="33"/>
        <v>1.0226247399999999E-2</v>
      </c>
      <c r="N106" s="38">
        <f t="shared" si="34"/>
        <v>1.02303992E-2</v>
      </c>
      <c r="Q106" s="38">
        <f t="shared" si="35"/>
        <v>1.02563729E-2</v>
      </c>
    </row>
    <row r="107" spans="1:17" x14ac:dyDescent="0.15">
      <c r="A107" s="41">
        <v>103</v>
      </c>
      <c r="B107" s="144">
        <f t="shared" si="30"/>
        <v>1.02482904E-2</v>
      </c>
      <c r="E107" s="29">
        <f t="shared" si="31"/>
        <v>1.02744546E-2</v>
      </c>
      <c r="H107" s="34">
        <f t="shared" si="32"/>
        <v>1.01051523E-2</v>
      </c>
      <c r="K107" s="34">
        <f t="shared" si="33"/>
        <v>1.01310811E-2</v>
      </c>
      <c r="N107" s="38">
        <f t="shared" si="34"/>
        <v>1.0135233699999999E-2</v>
      </c>
      <c r="Q107" s="38">
        <f t="shared" si="35"/>
        <v>1.0161212100000001E-2</v>
      </c>
    </row>
    <row r="108" spans="1:17" x14ac:dyDescent="0.15">
      <c r="A108" s="41">
        <v>104</v>
      </c>
      <c r="B108" s="144">
        <f t="shared" si="30"/>
        <v>1.01549799E-2</v>
      </c>
      <c r="E108" s="29">
        <f t="shared" si="31"/>
        <v>1.0181150700000001E-2</v>
      </c>
      <c r="H108" s="34">
        <f t="shared" si="32"/>
        <v>1.00118129E-2</v>
      </c>
      <c r="K108" s="34">
        <f t="shared" si="33"/>
        <v>1.0037746E-2</v>
      </c>
      <c r="N108" s="38">
        <f t="shared" si="34"/>
        <v>1.0041899300000001E-2</v>
      </c>
      <c r="Q108" s="38">
        <f t="shared" si="35"/>
        <v>1.00678826E-2</v>
      </c>
    </row>
    <row r="109" spans="1:17" x14ac:dyDescent="0.15">
      <c r="A109" s="41">
        <v>105</v>
      </c>
      <c r="B109" s="144">
        <f t="shared" si="30"/>
        <v>1.0063448500000001E-2</v>
      </c>
      <c r="E109" s="29">
        <f t="shared" si="31"/>
        <v>1.0089626000000001E-2</v>
      </c>
      <c r="H109" s="34">
        <f t="shared" si="32"/>
        <v>9.9202523999999993E-3</v>
      </c>
      <c r="K109" s="34">
        <f t="shared" si="33"/>
        <v>9.9461897999999997E-3</v>
      </c>
      <c r="N109" s="38">
        <f t="shared" si="34"/>
        <v>9.9503439000000003E-3</v>
      </c>
      <c r="Q109" s="38">
        <f t="shared" si="35"/>
        <v>9.9763319999999992E-3</v>
      </c>
    </row>
    <row r="110" spans="1:17" x14ac:dyDescent="0.15">
      <c r="A110" s="41">
        <v>106</v>
      </c>
      <c r="B110" s="144">
        <f t="shared" si="30"/>
        <v>9.9736458999999996E-3</v>
      </c>
      <c r="E110" s="29">
        <f t="shared" si="31"/>
        <v>9.9998299999999995E-3</v>
      </c>
      <c r="H110" s="34">
        <f t="shared" si="32"/>
        <v>9.8304203E-3</v>
      </c>
      <c r="K110" s="34">
        <f t="shared" si="33"/>
        <v>9.8563621999999997E-3</v>
      </c>
      <c r="N110" s="38">
        <f t="shared" si="34"/>
        <v>9.8605169999999992E-3</v>
      </c>
      <c r="Q110" s="38">
        <f t="shared" si="35"/>
        <v>9.8865099999999994E-3</v>
      </c>
    </row>
    <row r="111" spans="1:17" x14ac:dyDescent="0.15">
      <c r="A111" s="41">
        <v>107</v>
      </c>
      <c r="B111" s="144">
        <f t="shared" si="30"/>
        <v>9.8855235E-3</v>
      </c>
      <c r="E111" s="29">
        <f t="shared" si="31"/>
        <v>9.9117144000000004E-3</v>
      </c>
      <c r="H111" s="34">
        <f t="shared" si="32"/>
        <v>9.7422683000000006E-3</v>
      </c>
      <c r="K111" s="34">
        <f t="shared" si="33"/>
        <v>9.7682146000000001E-3</v>
      </c>
      <c r="N111" s="38">
        <f t="shared" si="34"/>
        <v>9.7723701999999999E-3</v>
      </c>
      <c r="Q111" s="38">
        <f t="shared" si="35"/>
        <v>9.7983680999999996E-3</v>
      </c>
    </row>
    <row r="112" spans="1:17" x14ac:dyDescent="0.15">
      <c r="A112" s="41">
        <v>108</v>
      </c>
      <c r="B112" s="144">
        <f t="shared" si="30"/>
        <v>9.7990347000000005E-3</v>
      </c>
      <c r="E112" s="29">
        <f t="shared" si="31"/>
        <v>9.8252323999999999E-3</v>
      </c>
      <c r="H112" s="34">
        <f t="shared" si="32"/>
        <v>9.6557497000000006E-3</v>
      </c>
      <c r="K112" s="34">
        <f t="shared" si="33"/>
        <v>9.6817004999999994E-3</v>
      </c>
      <c r="N112" s="38">
        <f t="shared" si="34"/>
        <v>9.6858567999999999E-3</v>
      </c>
      <c r="Q112" s="38">
        <f t="shared" si="35"/>
        <v>9.7118597000000004E-3</v>
      </c>
    </row>
    <row r="113" spans="1:17" x14ac:dyDescent="0.15">
      <c r="A113" s="41">
        <v>109</v>
      </c>
      <c r="B113" s="144">
        <f t="shared" si="30"/>
        <v>9.7141345000000007E-3</v>
      </c>
      <c r="E113" s="29">
        <f t="shared" si="31"/>
        <v>9.7403390000000006E-3</v>
      </c>
      <c r="H113" s="34">
        <f t="shared" si="32"/>
        <v>9.5708193999999996E-3</v>
      </c>
      <c r="K113" s="34">
        <f t="shared" si="33"/>
        <v>9.5967747999999992E-3</v>
      </c>
      <c r="N113" s="38">
        <f t="shared" si="34"/>
        <v>9.6009318000000003E-3</v>
      </c>
      <c r="Q113" s="38">
        <f t="shared" si="35"/>
        <v>9.6269397E-3</v>
      </c>
    </row>
    <row r="114" spans="1:17" x14ac:dyDescent="0.15">
      <c r="A114" s="41">
        <v>110</v>
      </c>
      <c r="B114" s="144">
        <f t="shared" si="30"/>
        <v>9.6307796999999997E-3</v>
      </c>
      <c r="E114" s="29">
        <f t="shared" si="31"/>
        <v>9.6569910000000002E-3</v>
      </c>
      <c r="H114" s="34">
        <f t="shared" si="32"/>
        <v>9.4874343E-3</v>
      </c>
      <c r="K114" s="34">
        <f t="shared" si="33"/>
        <v>9.5133942000000006E-3</v>
      </c>
      <c r="N114" s="38">
        <f t="shared" si="34"/>
        <v>9.5175520000000003E-3</v>
      </c>
      <c r="Q114" s="38">
        <f t="shared" si="35"/>
        <v>9.5435650000000004E-3</v>
      </c>
    </row>
    <row r="115" spans="1:17" x14ac:dyDescent="0.15">
      <c r="A115" s="41">
        <v>111</v>
      </c>
      <c r="B115" s="144">
        <f t="shared" si="30"/>
        <v>9.5489284000000001E-3</v>
      </c>
      <c r="E115" s="29">
        <f t="shared" si="31"/>
        <v>9.5751466000000007E-3</v>
      </c>
      <c r="H115" s="34">
        <f t="shared" si="32"/>
        <v>9.4055525000000008E-3</v>
      </c>
      <c r="K115" s="34">
        <f t="shared" si="33"/>
        <v>9.4315170000000004E-3</v>
      </c>
      <c r="N115" s="38">
        <f t="shared" si="34"/>
        <v>9.4356756000000003E-3</v>
      </c>
      <c r="Q115" s="38">
        <f t="shared" si="35"/>
        <v>9.4616937000000009E-3</v>
      </c>
    </row>
    <row r="116" spans="1:17" x14ac:dyDescent="0.15">
      <c r="A116" s="41">
        <v>112</v>
      </c>
      <c r="B116" s="144">
        <f t="shared" si="30"/>
        <v>9.4685402999999998E-3</v>
      </c>
      <c r="E116" s="29">
        <f t="shared" si="31"/>
        <v>9.4947655000000002E-3</v>
      </c>
      <c r="H116" s="34">
        <f t="shared" si="32"/>
        <v>9.3251337999999996E-3</v>
      </c>
      <c r="K116" s="34">
        <f t="shared" si="33"/>
        <v>9.3511028999999999E-3</v>
      </c>
      <c r="N116" s="38">
        <f t="shared" si="34"/>
        <v>9.3552623000000001E-3</v>
      </c>
      <c r="Q116" s="38">
        <f t="shared" si="35"/>
        <v>9.3812854999999994E-3</v>
      </c>
    </row>
    <row r="117" spans="1:17" x14ac:dyDescent="0.15">
      <c r="A117" s="41">
        <v>113</v>
      </c>
      <c r="B117" s="144">
        <f t="shared" si="30"/>
        <v>9.3895767000000008E-3</v>
      </c>
      <c r="E117" s="29">
        <f t="shared" si="31"/>
        <v>9.4158088999999993E-3</v>
      </c>
      <c r="H117" s="34">
        <f t="shared" si="32"/>
        <v>9.2461392999999992E-3</v>
      </c>
      <c r="K117" s="34">
        <f t="shared" si="33"/>
        <v>9.2721130999999998E-3</v>
      </c>
      <c r="N117" s="38">
        <f t="shared" si="34"/>
        <v>9.2762733000000003E-3</v>
      </c>
      <c r="Q117" s="38">
        <f t="shared" si="35"/>
        <v>9.3023016E-3</v>
      </c>
    </row>
    <row r="118" spans="1:17" x14ac:dyDescent="0.15">
      <c r="A118" s="41">
        <v>114</v>
      </c>
      <c r="B118" s="144">
        <f t="shared" si="30"/>
        <v>9.3120000000000008E-3</v>
      </c>
      <c r="E118" s="29">
        <f t="shared" si="31"/>
        <v>9.3382392000000009E-3</v>
      </c>
      <c r="H118" s="34">
        <f t="shared" si="32"/>
        <v>9.1685315000000003E-3</v>
      </c>
      <c r="K118" s="34">
        <f t="shared" si="33"/>
        <v>9.1945101000000008E-3</v>
      </c>
      <c r="N118" s="38">
        <f t="shared" si="34"/>
        <v>9.1986710000000003E-3</v>
      </c>
      <c r="Q118" s="38">
        <f t="shared" si="35"/>
        <v>9.2247045999999996E-3</v>
      </c>
    </row>
    <row r="119" spans="1:17" x14ac:dyDescent="0.15">
      <c r="A119" s="41">
        <v>115</v>
      </c>
      <c r="B119" s="144">
        <f t="shared" si="30"/>
        <v>9.2357741E-3</v>
      </c>
      <c r="E119" s="29">
        <f t="shared" si="31"/>
        <v>9.2620202999999998E-3</v>
      </c>
      <c r="H119" s="34">
        <f t="shared" si="32"/>
        <v>9.0922742999999997E-3</v>
      </c>
      <c r="K119" s="34">
        <f t="shared" si="33"/>
        <v>9.1182576000000005E-3</v>
      </c>
      <c r="N119" s="38">
        <f t="shared" si="34"/>
        <v>9.1224193999999998E-3</v>
      </c>
      <c r="Q119" s="38">
        <f t="shared" si="35"/>
        <v>9.1484581999999991E-3</v>
      </c>
    </row>
    <row r="120" spans="1:17" x14ac:dyDescent="0.15">
      <c r="A120" s="41">
        <v>116</v>
      </c>
      <c r="B120" s="144">
        <f t="shared" si="30"/>
        <v>9.1608639999999995E-3</v>
      </c>
      <c r="E120" s="29">
        <f t="shared" si="31"/>
        <v>9.1871172000000008E-3</v>
      </c>
      <c r="H120" s="34">
        <f t="shared" si="32"/>
        <v>9.0173327999999997E-3</v>
      </c>
      <c r="K120" s="34">
        <f t="shared" si="33"/>
        <v>9.0433209000000004E-3</v>
      </c>
      <c r="N120" s="38">
        <f t="shared" si="34"/>
        <v>9.0474834000000004E-3</v>
      </c>
      <c r="Q120" s="38">
        <f t="shared" si="35"/>
        <v>9.0735274999999994E-3</v>
      </c>
    </row>
    <row r="121" spans="1:17" x14ac:dyDescent="0.15">
      <c r="A121" s="41">
        <v>117</v>
      </c>
      <c r="B121" s="144">
        <f t="shared" si="30"/>
        <v>9.0872360000000003E-3</v>
      </c>
      <c r="E121" s="29">
        <f t="shared" si="31"/>
        <v>9.1134962999999992E-3</v>
      </c>
      <c r="H121" s="34">
        <f t="shared" si="32"/>
        <v>8.9436731000000005E-3</v>
      </c>
      <c r="K121" s="34">
        <f t="shared" si="33"/>
        <v>8.9696659999999994E-3</v>
      </c>
      <c r="N121" s="38">
        <f t="shared" si="34"/>
        <v>8.9738293999999993E-3</v>
      </c>
      <c r="Q121" s="38">
        <f t="shared" si="35"/>
        <v>8.9998787999999996E-3</v>
      </c>
    </row>
    <row r="122" spans="1:17" x14ac:dyDescent="0.15">
      <c r="A122" s="41">
        <v>118</v>
      </c>
      <c r="B122" s="144">
        <f t="shared" si="30"/>
        <v>9.0148573999999995E-3</v>
      </c>
      <c r="E122" s="29">
        <f t="shared" si="31"/>
        <v>9.0411248999999992E-3</v>
      </c>
      <c r="H122" s="34">
        <f t="shared" si="32"/>
        <v>8.8712627999999998E-3</v>
      </c>
      <c r="K122" s="34">
        <f t="shared" si="33"/>
        <v>8.8972605999999999E-3</v>
      </c>
      <c r="N122" s="38">
        <f t="shared" si="34"/>
        <v>8.9014247000000005E-3</v>
      </c>
      <c r="Q122" s="38">
        <f t="shared" si="35"/>
        <v>8.9274794000000005E-3</v>
      </c>
    </row>
    <row r="123" spans="1:17" x14ac:dyDescent="0.15">
      <c r="A123" s="41">
        <v>119</v>
      </c>
      <c r="B123" s="144">
        <f t="shared" si="30"/>
        <v>8.9436969000000009E-3</v>
      </c>
      <c r="E123" s="29">
        <f t="shared" si="31"/>
        <v>8.9699714999999999E-3</v>
      </c>
      <c r="H123" s="34">
        <f t="shared" si="32"/>
        <v>8.8000703000000007E-3</v>
      </c>
      <c r="K123" s="34">
        <f t="shared" si="33"/>
        <v>8.8260729000000007E-3</v>
      </c>
      <c r="N123" s="38">
        <f t="shared" si="34"/>
        <v>8.8302378999999993E-3</v>
      </c>
      <c r="Q123" s="38">
        <f t="shared" si="35"/>
        <v>8.8562980000000003E-3</v>
      </c>
    </row>
    <row r="124" spans="1:17" x14ac:dyDescent="0.15">
      <c r="A124" s="41">
        <v>120</v>
      </c>
      <c r="B124" s="144">
        <f t="shared" si="30"/>
        <v>8.8737238999999999E-3</v>
      </c>
      <c r="E124" s="29">
        <f t="shared" si="31"/>
        <v>8.9000056999999997E-3</v>
      </c>
      <c r="H124" s="34">
        <f t="shared" si="32"/>
        <v>8.7300651E-3</v>
      </c>
      <c r="K124" s="34">
        <f t="shared" si="33"/>
        <v>8.7560727000000008E-3</v>
      </c>
      <c r="N124" s="38">
        <f t="shared" si="34"/>
        <v>8.7602384999999998E-3</v>
      </c>
      <c r="Q124" s="38">
        <f t="shared" si="35"/>
        <v>8.786304E-3</v>
      </c>
    </row>
    <row r="125" spans="1:17" x14ac:dyDescent="0.15">
      <c r="A125" s="41">
        <v>121</v>
      </c>
      <c r="B125" s="144">
        <f t="shared" si="30"/>
        <v>8.8049089999999997E-3</v>
      </c>
      <c r="E125" s="29">
        <f t="shared" si="31"/>
        <v>8.8311980000000002E-3</v>
      </c>
      <c r="H125" s="34">
        <f t="shared" si="32"/>
        <v>8.6612179000000004E-3</v>
      </c>
      <c r="K125" s="34">
        <f t="shared" si="33"/>
        <v>8.6872304000000008E-3</v>
      </c>
      <c r="N125" s="38">
        <f t="shared" si="34"/>
        <v>8.6913970999999996E-3</v>
      </c>
      <c r="Q125" s="38">
        <f t="shared" si="35"/>
        <v>8.7174678999999995E-3</v>
      </c>
    </row>
    <row r="126" spans="1:17" x14ac:dyDescent="0.15">
      <c r="A126" s="41">
        <v>122</v>
      </c>
      <c r="B126" s="144">
        <f t="shared" si="30"/>
        <v>8.7372235999999999E-3</v>
      </c>
      <c r="E126" s="29">
        <f t="shared" si="31"/>
        <v>8.7635199000000007E-3</v>
      </c>
      <c r="H126" s="34">
        <f t="shared" si="32"/>
        <v>8.5935001999999996E-3</v>
      </c>
      <c r="K126" s="34">
        <f t="shared" si="33"/>
        <v>8.6195177000000008E-3</v>
      </c>
      <c r="N126" s="38">
        <f t="shared" si="34"/>
        <v>8.6236851999999999E-3</v>
      </c>
      <c r="Q126" s="38">
        <f t="shared" si="35"/>
        <v>8.6497614000000007E-3</v>
      </c>
    </row>
    <row r="127" spans="1:17" x14ac:dyDescent="0.15">
      <c r="A127" s="41">
        <v>123</v>
      </c>
      <c r="B127" s="144">
        <f t="shared" si="30"/>
        <v>8.6706404000000004E-3</v>
      </c>
      <c r="E127" s="29">
        <f t="shared" si="31"/>
        <v>8.6969439000000003E-3</v>
      </c>
      <c r="H127" s="34">
        <f t="shared" si="32"/>
        <v>8.5268844000000003E-3</v>
      </c>
      <c r="K127" s="34">
        <f t="shared" si="33"/>
        <v>8.5529067999999993E-3</v>
      </c>
      <c r="N127" s="38">
        <f t="shared" si="34"/>
        <v>8.5570752E-3</v>
      </c>
      <c r="Q127" s="38">
        <f t="shared" si="35"/>
        <v>8.5831568999999996E-3</v>
      </c>
    </row>
    <row r="128" spans="1:17" x14ac:dyDescent="0.15">
      <c r="A128" s="41">
        <v>124</v>
      </c>
      <c r="B128" s="144">
        <f t="shared" si="30"/>
        <v>8.6051326000000008E-3</v>
      </c>
      <c r="E128" s="29">
        <f t="shared" si="31"/>
        <v>8.6314433999999992E-3</v>
      </c>
      <c r="H128" s="34">
        <f t="shared" si="32"/>
        <v>8.4613437999999999E-3</v>
      </c>
      <c r="K128" s="34">
        <f t="shared" si="33"/>
        <v>8.4873712999999993E-3</v>
      </c>
      <c r="N128" s="38">
        <f t="shared" si="34"/>
        <v>8.4915405000000003E-3</v>
      </c>
      <c r="Q128" s="38">
        <f t="shared" si="35"/>
        <v>8.5176277000000005E-3</v>
      </c>
    </row>
    <row r="129" spans="1:17" x14ac:dyDescent="0.15">
      <c r="A129" s="41">
        <v>125</v>
      </c>
      <c r="B129" s="144">
        <f t="shared" si="30"/>
        <v>8.5406743000000004E-3</v>
      </c>
      <c r="E129" s="29">
        <f t="shared" si="31"/>
        <v>8.5669925000000004E-3</v>
      </c>
      <c r="H129" s="34">
        <f t="shared" si="32"/>
        <v>8.3968527000000005E-3</v>
      </c>
      <c r="K129" s="34">
        <f t="shared" si="33"/>
        <v>8.4228852000000007E-3</v>
      </c>
      <c r="N129" s="38">
        <f t="shared" si="34"/>
        <v>8.4270552000000002E-3</v>
      </c>
      <c r="Q129" s="38">
        <f t="shared" si="35"/>
        <v>8.4531480000000006E-3</v>
      </c>
    </row>
    <row r="130" spans="1:17" x14ac:dyDescent="0.15">
      <c r="A130" s="41">
        <v>126</v>
      </c>
      <c r="B130" s="144">
        <f t="shared" si="30"/>
        <v>8.4772406999999994E-3</v>
      </c>
      <c r="E130" s="29">
        <f t="shared" si="31"/>
        <v>8.5035661999999998E-3</v>
      </c>
      <c r="H130" s="34">
        <f t="shared" si="32"/>
        <v>8.3333860999999995E-3</v>
      </c>
      <c r="K130" s="34">
        <f t="shared" si="33"/>
        <v>8.3594236000000006E-3</v>
      </c>
      <c r="N130" s="38">
        <f t="shared" si="34"/>
        <v>8.3635945E-3</v>
      </c>
      <c r="Q130" s="38">
        <f t="shared" si="35"/>
        <v>8.3896927999999992E-3</v>
      </c>
    </row>
    <row r="131" spans="1:17" x14ac:dyDescent="0.15">
      <c r="A131" s="41">
        <v>127</v>
      </c>
      <c r="B131" s="144">
        <f t="shared" si="30"/>
        <v>8.4148074E-3</v>
      </c>
      <c r="E131" s="29">
        <f t="shared" si="31"/>
        <v>8.4411403000000003E-3</v>
      </c>
      <c r="H131" s="34">
        <f t="shared" si="32"/>
        <v>8.2709197000000005E-3</v>
      </c>
      <c r="K131" s="34">
        <f t="shared" si="33"/>
        <v>8.2969623000000003E-3</v>
      </c>
      <c r="N131" s="38">
        <f t="shared" si="34"/>
        <v>8.3011340999999995E-3</v>
      </c>
      <c r="Q131" s="38">
        <f t="shared" si="35"/>
        <v>8.3272380000000007E-3</v>
      </c>
    </row>
    <row r="132" spans="1:17" x14ac:dyDescent="0.15">
      <c r="A132" s="41">
        <v>128</v>
      </c>
      <c r="B132" s="144">
        <f t="shared" si="30"/>
        <v>8.3533510999999998E-3</v>
      </c>
      <c r="E132" s="29">
        <f t="shared" si="31"/>
        <v>8.3796914E-3</v>
      </c>
      <c r="H132" s="34">
        <f t="shared" si="32"/>
        <v>8.2094300999999998E-3</v>
      </c>
      <c r="K132" s="34">
        <f t="shared" si="33"/>
        <v>8.2354778999999996E-3</v>
      </c>
      <c r="N132" s="38">
        <f t="shared" si="34"/>
        <v>8.2396504999999991E-3</v>
      </c>
      <c r="Q132" s="38">
        <f t="shared" si="35"/>
        <v>8.2657600000000005E-3</v>
      </c>
    </row>
    <row r="133" spans="1:17" x14ac:dyDescent="0.15">
      <c r="A133" s="41">
        <v>129</v>
      </c>
      <c r="B133" s="144">
        <f t="shared" si="30"/>
        <v>8.2928490999999993E-3</v>
      </c>
      <c r="E133" s="29">
        <f t="shared" si="31"/>
        <v>8.3191967999999995E-3</v>
      </c>
      <c r="H133" s="34">
        <f t="shared" si="32"/>
        <v>8.1488945999999996E-3</v>
      </c>
      <c r="K133" s="34">
        <f t="shared" si="33"/>
        <v>8.1749474999999999E-3</v>
      </c>
      <c r="N133" s="38">
        <f t="shared" si="34"/>
        <v>8.1791209999999993E-3</v>
      </c>
      <c r="Q133" s="38">
        <f t="shared" si="35"/>
        <v>8.2052361000000008E-3</v>
      </c>
    </row>
    <row r="134" spans="1:17" x14ac:dyDescent="0.15">
      <c r="A134" s="41">
        <v>130</v>
      </c>
      <c r="B134" s="144">
        <f t="shared" ref="B134:B197" si="36">ROUND(D$2*(1+D$2)^$A134/((1+D$2)^$A134-1),10)</f>
        <v>8.2332792000000005E-3</v>
      </c>
      <c r="E134" s="29">
        <f t="shared" ref="E134:E197" si="37">ROUND(G$2*(1+G$2)^$A134/((1+G$2)^$A134-1),10)</f>
        <v>8.2596344000000002E-3</v>
      </c>
      <c r="H134" s="34">
        <f t="shared" si="32"/>
        <v>8.0892911999999994E-3</v>
      </c>
      <c r="K134" s="34">
        <f t="shared" si="33"/>
        <v>8.1153492999999997E-3</v>
      </c>
      <c r="N134" s="38">
        <f t="shared" si="34"/>
        <v>8.1195235999999994E-3</v>
      </c>
      <c r="Q134" s="38">
        <f t="shared" si="35"/>
        <v>8.1456444000000006E-3</v>
      </c>
    </row>
    <row r="135" spans="1:17" x14ac:dyDescent="0.15">
      <c r="A135" s="41">
        <v>131</v>
      </c>
      <c r="B135" s="144">
        <f t="shared" si="36"/>
        <v>8.1746201999999997E-3</v>
      </c>
      <c r="E135" s="29">
        <f t="shared" si="37"/>
        <v>8.2009827999999993E-3</v>
      </c>
      <c r="H135" s="34">
        <f t="shared" si="32"/>
        <v>8.0305985999999992E-3</v>
      </c>
      <c r="K135" s="34">
        <f t="shared" si="33"/>
        <v>8.0566618999999996E-3</v>
      </c>
      <c r="N135" s="38">
        <f t="shared" si="34"/>
        <v>8.0608369999999995E-3</v>
      </c>
      <c r="Q135" s="38">
        <f t="shared" si="35"/>
        <v>8.0869635000000006E-3</v>
      </c>
    </row>
    <row r="136" spans="1:17" x14ac:dyDescent="0.15">
      <c r="A136" s="41">
        <v>132</v>
      </c>
      <c r="B136" s="144">
        <f t="shared" si="36"/>
        <v>8.1168513999999997E-3</v>
      </c>
      <c r="E136" s="29">
        <f t="shared" si="37"/>
        <v>8.1432215000000006E-3</v>
      </c>
      <c r="H136" s="34">
        <f t="shared" si="32"/>
        <v>7.9727960000000007E-3</v>
      </c>
      <c r="K136" s="34">
        <f t="shared" si="33"/>
        <v>7.9988644999999994E-3</v>
      </c>
      <c r="N136" s="38">
        <f t="shared" si="34"/>
        <v>8.0030404999999992E-3</v>
      </c>
      <c r="Q136" s="38">
        <f t="shared" si="35"/>
        <v>8.0291726000000004E-3</v>
      </c>
    </row>
    <row r="137" spans="1:17" x14ac:dyDescent="0.15">
      <c r="A137" s="41">
        <v>133</v>
      </c>
      <c r="B137" s="144">
        <f t="shared" si="36"/>
        <v>8.0599526999999994E-3</v>
      </c>
      <c r="E137" s="29">
        <f t="shared" si="37"/>
        <v>8.0863302999999997E-3</v>
      </c>
      <c r="H137" s="34">
        <f t="shared" si="32"/>
        <v>7.9158632999999992E-3</v>
      </c>
      <c r="K137" s="34">
        <f t="shared" si="33"/>
        <v>7.9419369999999996E-3</v>
      </c>
      <c r="N137" s="38">
        <f t="shared" si="34"/>
        <v>7.9461140000000006E-3</v>
      </c>
      <c r="Q137" s="38">
        <f t="shared" si="35"/>
        <v>7.9722517999999999E-3</v>
      </c>
    </row>
    <row r="138" spans="1:17" x14ac:dyDescent="0.15">
      <c r="A138" s="41">
        <v>134</v>
      </c>
      <c r="B138" s="144">
        <f t="shared" si="36"/>
        <v>8.0039045000000007E-3</v>
      </c>
      <c r="E138" s="29">
        <f t="shared" si="37"/>
        <v>8.0302897000000002E-3</v>
      </c>
      <c r="H138" s="34">
        <f t="shared" si="32"/>
        <v>7.8597812000000006E-3</v>
      </c>
      <c r="K138" s="34">
        <f t="shared" si="33"/>
        <v>7.8858600999999993E-3</v>
      </c>
      <c r="N138" s="38">
        <f t="shared" si="34"/>
        <v>7.8900379000000007E-3</v>
      </c>
      <c r="Q138" s="38">
        <f t="shared" si="35"/>
        <v>7.9161814999999993E-3</v>
      </c>
    </row>
    <row r="139" spans="1:17" x14ac:dyDescent="0.15">
      <c r="A139" s="41">
        <v>135</v>
      </c>
      <c r="B139" s="144">
        <f t="shared" si="36"/>
        <v>7.9486881000000002E-3</v>
      </c>
      <c r="E139" s="29">
        <f t="shared" si="37"/>
        <v>7.9750807999999992E-3</v>
      </c>
      <c r="H139" s="34">
        <f t="shared" si="32"/>
        <v>7.8045305999999998E-3</v>
      </c>
      <c r="K139" s="34">
        <f t="shared" si="33"/>
        <v>7.8306147999999999E-3</v>
      </c>
      <c r="N139" s="38">
        <f t="shared" si="34"/>
        <v>7.8347934999999994E-3</v>
      </c>
      <c r="Q139" s="38">
        <f t="shared" si="35"/>
        <v>7.8609429000000008E-3</v>
      </c>
    </row>
    <row r="140" spans="1:17" x14ac:dyDescent="0.15">
      <c r="A140" s="41">
        <v>136</v>
      </c>
      <c r="B140" s="144">
        <f t="shared" si="36"/>
        <v>7.8942849999999992E-3</v>
      </c>
      <c r="E140" s="29">
        <f t="shared" si="37"/>
        <v>7.9206851999999994E-3</v>
      </c>
      <c r="H140" s="34">
        <f t="shared" si="32"/>
        <v>7.7500933000000001E-3</v>
      </c>
      <c r="K140" s="34">
        <f t="shared" si="33"/>
        <v>7.7761827999999998E-3</v>
      </c>
      <c r="N140" s="38">
        <f t="shared" si="34"/>
        <v>7.7803624E-3</v>
      </c>
      <c r="Q140" s="38">
        <f t="shared" si="35"/>
        <v>7.8065175000000004E-3</v>
      </c>
    </row>
    <row r="141" spans="1:17" x14ac:dyDescent="0.15">
      <c r="A141" s="41">
        <v>137</v>
      </c>
      <c r="B141" s="144">
        <f t="shared" si="36"/>
        <v>7.8406775000000005E-3</v>
      </c>
      <c r="E141" s="29">
        <f t="shared" si="37"/>
        <v>7.8670852999999999E-3</v>
      </c>
      <c r="H141" s="34">
        <f t="shared" si="32"/>
        <v>7.6964514000000001E-3</v>
      </c>
      <c r="K141" s="34">
        <f t="shared" si="33"/>
        <v>7.7225462000000003E-3</v>
      </c>
      <c r="N141" s="38">
        <f t="shared" si="34"/>
        <v>7.7267267000000004E-3</v>
      </c>
      <c r="Q141" s="38">
        <f t="shared" si="35"/>
        <v>7.7528876000000002E-3</v>
      </c>
    </row>
    <row r="142" spans="1:17" x14ac:dyDescent="0.15">
      <c r="A142" s="41">
        <v>138</v>
      </c>
      <c r="B142" s="144">
        <f t="shared" si="36"/>
        <v>7.7878482000000001E-3</v>
      </c>
      <c r="E142" s="29">
        <f t="shared" si="37"/>
        <v>7.8142635999999994E-3</v>
      </c>
      <c r="H142" s="34">
        <f t="shared" si="32"/>
        <v>7.6435875999999996E-3</v>
      </c>
      <c r="K142" s="34">
        <f t="shared" si="33"/>
        <v>7.6696878E-3</v>
      </c>
      <c r="N142" s="38">
        <f t="shared" si="34"/>
        <v>7.6738691999999999E-3</v>
      </c>
      <c r="Q142" s="38">
        <f t="shared" si="35"/>
        <v>7.7000358999999999E-3</v>
      </c>
    </row>
    <row r="143" spans="1:17" x14ac:dyDescent="0.15">
      <c r="A143" s="41">
        <v>139</v>
      </c>
      <c r="B143" s="144">
        <f t="shared" si="36"/>
        <v>7.7357802999999999E-3</v>
      </c>
      <c r="E143" s="29">
        <f t="shared" si="37"/>
        <v>7.7622033999999998E-3</v>
      </c>
      <c r="H143" s="34">
        <f t="shared" si="32"/>
        <v>7.5914852000000003E-3</v>
      </c>
      <c r="K143" s="34">
        <f t="shared" si="33"/>
        <v>7.6175907999999999E-3</v>
      </c>
      <c r="N143" s="38">
        <f t="shared" si="34"/>
        <v>7.6217730000000001E-3</v>
      </c>
      <c r="Q143" s="38">
        <f t="shared" si="35"/>
        <v>7.6479455000000003E-3</v>
      </c>
    </row>
    <row r="144" spans="1:17" x14ac:dyDescent="0.15">
      <c r="A144" s="41">
        <v>140</v>
      </c>
      <c r="B144" s="144">
        <f t="shared" si="36"/>
        <v>7.6844575999999998E-3</v>
      </c>
      <c r="E144" s="29">
        <f t="shared" si="37"/>
        <v>7.7108882999999996E-3</v>
      </c>
      <c r="H144" s="34">
        <f t="shared" si="32"/>
        <v>7.5401278E-3</v>
      </c>
      <c r="K144" s="34">
        <f t="shared" si="33"/>
        <v>7.5662387999999997E-3</v>
      </c>
      <c r="N144" s="38">
        <f t="shared" si="34"/>
        <v>7.5704218999999998E-3</v>
      </c>
      <c r="Q144" s="38">
        <f t="shared" si="35"/>
        <v>7.5966002999999999E-3</v>
      </c>
    </row>
    <row r="145" spans="1:17" x14ac:dyDescent="0.15">
      <c r="A145" s="41">
        <v>141</v>
      </c>
      <c r="B145" s="144">
        <f t="shared" si="36"/>
        <v>7.6338641999999998E-3</v>
      </c>
      <c r="E145" s="29">
        <f t="shared" si="37"/>
        <v>7.6603026000000001E-3</v>
      </c>
      <c r="H145" s="34">
        <f t="shared" si="32"/>
        <v>7.4894997E-3</v>
      </c>
      <c r="K145" s="34">
        <f t="shared" si="33"/>
        <v>7.5156160000000001E-3</v>
      </c>
      <c r="N145" s="38">
        <f t="shared" si="34"/>
        <v>7.5198000000000001E-3</v>
      </c>
      <c r="Q145" s="38">
        <f t="shared" si="35"/>
        <v>7.5459843E-3</v>
      </c>
    </row>
    <row r="146" spans="1:17" x14ac:dyDescent="0.15">
      <c r="A146" s="41">
        <v>142</v>
      </c>
      <c r="B146" s="144">
        <f t="shared" si="36"/>
        <v>7.5839846000000004E-3</v>
      </c>
      <c r="E146" s="29">
        <f t="shared" si="37"/>
        <v>7.6104307000000003E-3</v>
      </c>
      <c r="H146" s="34">
        <f t="shared" si="32"/>
        <v>7.4395853E-3</v>
      </c>
      <c r="K146" s="34">
        <f t="shared" si="33"/>
        <v>7.4657070000000002E-3</v>
      </c>
      <c r="N146" s="38">
        <f t="shared" si="34"/>
        <v>7.4698919000000001E-3</v>
      </c>
      <c r="Q146" s="38">
        <f t="shared" si="35"/>
        <v>7.4960820999999999E-3</v>
      </c>
    </row>
    <row r="147" spans="1:17" x14ac:dyDescent="0.15">
      <c r="A147" s="41">
        <v>143</v>
      </c>
      <c r="B147" s="144">
        <f t="shared" si="36"/>
        <v>7.534804E-3</v>
      </c>
      <c r="E147" s="29">
        <f t="shared" si="37"/>
        <v>7.5612578000000003E-3</v>
      </c>
      <c r="H147" s="34">
        <f t="shared" si="32"/>
        <v>7.3903696000000001E-3</v>
      </c>
      <c r="K147" s="34">
        <f t="shared" si="33"/>
        <v>7.4164968000000001E-3</v>
      </c>
      <c r="N147" s="38">
        <f t="shared" si="34"/>
        <v>7.4206825999999998E-3</v>
      </c>
      <c r="Q147" s="38">
        <f t="shared" si="35"/>
        <v>7.4468787000000003E-3</v>
      </c>
    </row>
    <row r="148" spans="1:17" x14ac:dyDescent="0.15">
      <c r="A148" s="41">
        <v>144</v>
      </c>
      <c r="B148" s="144">
        <f t="shared" si="36"/>
        <v>7.4863077E-3</v>
      </c>
      <c r="E148" s="29">
        <f t="shared" si="37"/>
        <v>7.5127691999999999E-3</v>
      </c>
      <c r="H148" s="34">
        <f t="shared" si="32"/>
        <v>7.3418383000000004E-3</v>
      </c>
      <c r="K148" s="34">
        <f t="shared" si="33"/>
        <v>7.3679708E-3</v>
      </c>
      <c r="N148" s="38">
        <f t="shared" si="34"/>
        <v>7.3721576E-3</v>
      </c>
      <c r="Q148" s="38">
        <f t="shared" si="35"/>
        <v>7.3983596000000004E-3</v>
      </c>
    </row>
    <row r="149" spans="1:17" x14ac:dyDescent="0.15">
      <c r="A149" s="41">
        <v>145</v>
      </c>
      <c r="B149" s="144">
        <f t="shared" si="36"/>
        <v>7.4384815E-3</v>
      </c>
      <c r="E149" s="29">
        <f t="shared" si="37"/>
        <v>7.4649507000000004E-3</v>
      </c>
      <c r="H149" s="34">
        <f t="shared" ref="H149:H212" si="38">ROUND(J$2*(1+J$2)^$A149/((1+J$2)^$A149-1),10)</f>
        <v>7.2939770000000001E-3</v>
      </c>
      <c r="K149" s="34">
        <f t="shared" ref="K149:K212" si="39">ROUND(M$2*(1+M$2)^$A149/((1+M$2)^$A149-1),10)</f>
        <v>7.3201150000000003E-3</v>
      </c>
      <c r="N149" s="38">
        <f t="shared" ref="N149:N212" si="40">ROUND(P$2*(1+P$2)^$A149/((1+P$2)^$A149-1),10)</f>
        <v>7.3243027000000002E-3</v>
      </c>
      <c r="Q149" s="38">
        <f t="shared" ref="Q149:Q212" si="41">ROUND(S$2*(1+S$2)^$A149/((1+S$2)^$A149-1),10)</f>
        <v>7.3505106000000004E-3</v>
      </c>
    </row>
    <row r="150" spans="1:17" x14ac:dyDescent="0.15">
      <c r="A150" s="41">
        <v>146</v>
      </c>
      <c r="B150" s="144">
        <f t="shared" si="36"/>
        <v>7.3913117999999996E-3</v>
      </c>
      <c r="E150" s="29">
        <f t="shared" si="37"/>
        <v>7.4177888000000001E-3</v>
      </c>
      <c r="H150" s="34">
        <f t="shared" si="38"/>
        <v>7.2467720999999999E-3</v>
      </c>
      <c r="K150" s="34">
        <f t="shared" si="39"/>
        <v>7.2729155000000002E-3</v>
      </c>
      <c r="N150" s="38">
        <f t="shared" si="40"/>
        <v>7.2771041E-3</v>
      </c>
      <c r="Q150" s="38">
        <f t="shared" si="41"/>
        <v>7.3033179999999996E-3</v>
      </c>
    </row>
    <row r="151" spans="1:17" x14ac:dyDescent="0.15">
      <c r="A151" s="41">
        <v>147</v>
      </c>
      <c r="B151" s="144">
        <f t="shared" si="36"/>
        <v>7.3447851E-3</v>
      </c>
      <c r="E151" s="29">
        <f t="shared" si="37"/>
        <v>7.3712698E-3</v>
      </c>
      <c r="H151" s="34">
        <f t="shared" si="38"/>
        <v>7.2002100000000003E-3</v>
      </c>
      <c r="K151" s="34">
        <f t="shared" si="39"/>
        <v>7.2263589999999999E-3</v>
      </c>
      <c r="N151" s="38">
        <f t="shared" si="40"/>
        <v>7.2305484999999996E-3</v>
      </c>
      <c r="Q151" s="38">
        <f t="shared" si="41"/>
        <v>7.2567682999999999E-3</v>
      </c>
    </row>
    <row r="152" spans="1:17" x14ac:dyDescent="0.15">
      <c r="A152" s="41">
        <v>148</v>
      </c>
      <c r="B152" s="144">
        <f t="shared" si="36"/>
        <v>7.2988882999999996E-3</v>
      </c>
      <c r="E152" s="29">
        <f t="shared" si="37"/>
        <v>7.3253807999999997E-3</v>
      </c>
      <c r="H152" s="34">
        <f t="shared" si="38"/>
        <v>7.1542779000000004E-3</v>
      </c>
      <c r="K152" s="34">
        <f t="shared" si="39"/>
        <v>7.1804323999999997E-3</v>
      </c>
      <c r="N152" s="38">
        <f t="shared" si="40"/>
        <v>7.1846228000000002E-3</v>
      </c>
      <c r="Q152" s="38">
        <f t="shared" si="41"/>
        <v>7.2108485999999999E-3</v>
      </c>
    </row>
    <row r="153" spans="1:17" x14ac:dyDescent="0.15">
      <c r="A153" s="41">
        <v>149</v>
      </c>
      <c r="B153" s="144">
        <f t="shared" si="36"/>
        <v>7.2536088999999998E-3</v>
      </c>
      <c r="E153" s="29">
        <f t="shared" si="37"/>
        <v>7.2801092E-3</v>
      </c>
      <c r="H153" s="34">
        <f t="shared" si="38"/>
        <v>7.1089628999999998E-3</v>
      </c>
      <c r="K153" s="34">
        <f t="shared" si="39"/>
        <v>7.1351230000000002E-3</v>
      </c>
      <c r="N153" s="38">
        <f t="shared" si="40"/>
        <v>7.1393142999999996E-3</v>
      </c>
      <c r="Q153" s="38">
        <f t="shared" si="41"/>
        <v>7.1655460999999997E-3</v>
      </c>
    </row>
    <row r="154" spans="1:17" x14ac:dyDescent="0.15">
      <c r="A154" s="41">
        <v>150</v>
      </c>
      <c r="B154" s="144">
        <f t="shared" si="36"/>
        <v>7.2089344000000003E-3</v>
      </c>
      <c r="E154" s="29">
        <f t="shared" si="37"/>
        <v>7.2354424999999997E-3</v>
      </c>
      <c r="H154" s="34">
        <f t="shared" si="38"/>
        <v>7.0642528999999999E-3</v>
      </c>
      <c r="K154" s="34">
        <f t="shared" si="39"/>
        <v>7.0904184000000004E-3</v>
      </c>
      <c r="N154" s="38">
        <f t="shared" si="40"/>
        <v>7.0946107000000001E-3</v>
      </c>
      <c r="Q154" s="38">
        <f t="shared" si="41"/>
        <v>7.1208484999999997E-3</v>
      </c>
    </row>
    <row r="155" spans="1:17" x14ac:dyDescent="0.15">
      <c r="A155" s="41">
        <v>151</v>
      </c>
      <c r="B155" s="144">
        <f t="shared" si="36"/>
        <v>7.1648527999999996E-3</v>
      </c>
      <c r="E155" s="29">
        <f t="shared" si="37"/>
        <v>7.1913688000000003E-3</v>
      </c>
      <c r="H155" s="34">
        <f t="shared" si="38"/>
        <v>7.0201357000000001E-3</v>
      </c>
      <c r="K155" s="34">
        <f t="shared" si="39"/>
        <v>7.0463067999999998E-3</v>
      </c>
      <c r="N155" s="38">
        <f t="shared" si="40"/>
        <v>7.0505000000000003E-3</v>
      </c>
      <c r="Q155" s="38">
        <f t="shared" si="41"/>
        <v>7.0767438000000002E-3</v>
      </c>
    </row>
    <row r="156" spans="1:17" x14ac:dyDescent="0.15">
      <c r="A156" s="41">
        <v>152</v>
      </c>
      <c r="B156" s="144">
        <f t="shared" si="36"/>
        <v>7.1213524999999998E-3</v>
      </c>
      <c r="E156" s="29">
        <f t="shared" si="37"/>
        <v>7.1478762000000001E-3</v>
      </c>
      <c r="H156" s="34">
        <f t="shared" si="38"/>
        <v>6.9765996000000002E-3</v>
      </c>
      <c r="K156" s="34">
        <f t="shared" si="39"/>
        <v>7.0027763000000002E-3</v>
      </c>
      <c r="N156" s="38">
        <f t="shared" si="40"/>
        <v>7.0069703999999997E-3</v>
      </c>
      <c r="Q156" s="38">
        <f t="shared" si="41"/>
        <v>7.0332203000000003E-3</v>
      </c>
    </row>
    <row r="157" spans="1:17" x14ac:dyDescent="0.15">
      <c r="A157" s="41">
        <v>153</v>
      </c>
      <c r="B157" s="144">
        <f t="shared" si="36"/>
        <v>7.078422E-3</v>
      </c>
      <c r="E157" s="29">
        <f t="shared" si="37"/>
        <v>7.1049536E-3</v>
      </c>
      <c r="H157" s="34">
        <f t="shared" si="38"/>
        <v>6.9336333000000003E-3</v>
      </c>
      <c r="K157" s="34">
        <f t="shared" si="39"/>
        <v>6.9598155E-3</v>
      </c>
      <c r="N157" s="38">
        <f t="shared" si="40"/>
        <v>6.9640105999999998E-3</v>
      </c>
      <c r="Q157" s="38">
        <f t="shared" si="41"/>
        <v>6.9902664999999999E-3</v>
      </c>
    </row>
    <row r="158" spans="1:17" x14ac:dyDescent="0.15">
      <c r="A158" s="41">
        <v>154</v>
      </c>
      <c r="B158" s="144">
        <f t="shared" si="36"/>
        <v>7.0360502000000004E-3</v>
      </c>
      <c r="E158" s="29">
        <f t="shared" si="37"/>
        <v>7.0625897E-3</v>
      </c>
      <c r="H158" s="34">
        <f t="shared" si="38"/>
        <v>6.8912256000000002E-3</v>
      </c>
      <c r="K158" s="34">
        <f t="shared" si="39"/>
        <v>6.9174134E-3</v>
      </c>
      <c r="N158" s="38">
        <f t="shared" si="40"/>
        <v>6.9216093999999997E-3</v>
      </c>
      <c r="Q158" s="38">
        <f t="shared" si="41"/>
        <v>6.9478715000000002E-3</v>
      </c>
    </row>
    <row r="159" spans="1:17" x14ac:dyDescent="0.15">
      <c r="A159" s="41">
        <v>155</v>
      </c>
      <c r="B159" s="144">
        <f t="shared" si="36"/>
        <v>6.9942262999999998E-3</v>
      </c>
      <c r="E159" s="29">
        <f t="shared" si="37"/>
        <v>7.0207736999999999E-3</v>
      </c>
      <c r="H159" s="34">
        <f t="shared" si="38"/>
        <v>6.8493657999999999E-3</v>
      </c>
      <c r="K159" s="34">
        <f t="shared" si="39"/>
        <v>6.8755591999999999E-3</v>
      </c>
      <c r="N159" s="38">
        <f t="shared" si="40"/>
        <v>6.8797561000000004E-3</v>
      </c>
      <c r="Q159" s="38">
        <f t="shared" si="41"/>
        <v>6.9060242999999999E-3</v>
      </c>
    </row>
    <row r="160" spans="1:17" x14ac:dyDescent="0.15">
      <c r="A160" s="41">
        <v>156</v>
      </c>
      <c r="B160" s="144">
        <f t="shared" si="36"/>
        <v>6.9529398000000003E-3</v>
      </c>
      <c r="E160" s="29">
        <f t="shared" si="37"/>
        <v>6.9794951000000001E-3</v>
      </c>
      <c r="H160" s="34">
        <f t="shared" si="38"/>
        <v>6.8080433000000003E-3</v>
      </c>
      <c r="K160" s="34">
        <f t="shared" si="39"/>
        <v>6.8342422999999996E-3</v>
      </c>
      <c r="N160" s="38">
        <f t="shared" si="40"/>
        <v>6.8384402000000004E-3</v>
      </c>
      <c r="Q160" s="38">
        <f t="shared" si="41"/>
        <v>6.8647144000000002E-3</v>
      </c>
    </row>
    <row r="161" spans="1:17" x14ac:dyDescent="0.15">
      <c r="A161" s="41">
        <v>157</v>
      </c>
      <c r="B161" s="144">
        <f t="shared" si="36"/>
        <v>6.9121803999999997E-3</v>
      </c>
      <c r="E161" s="29">
        <f t="shared" si="37"/>
        <v>6.9387436E-3</v>
      </c>
      <c r="H161" s="34">
        <f t="shared" si="38"/>
        <v>6.7672477999999999E-3</v>
      </c>
      <c r="K161" s="34">
        <f t="shared" si="39"/>
        <v>6.7934524999999999E-3</v>
      </c>
      <c r="N161" s="38">
        <f t="shared" si="40"/>
        <v>6.7976512999999997E-3</v>
      </c>
      <c r="Q161" s="38">
        <f t="shared" si="41"/>
        <v>6.8239316000000003E-3</v>
      </c>
    </row>
    <row r="162" spans="1:17" x14ac:dyDescent="0.15">
      <c r="A162" s="41">
        <v>158</v>
      </c>
      <c r="B162" s="144">
        <f t="shared" si="36"/>
        <v>6.8719380999999998E-3</v>
      </c>
      <c r="E162" s="29">
        <f t="shared" si="37"/>
        <v>6.8985091999999998E-3</v>
      </c>
      <c r="H162" s="34">
        <f t="shared" si="38"/>
        <v>6.7269692999999998E-3</v>
      </c>
      <c r="K162" s="34">
        <f t="shared" si="39"/>
        <v>6.7531796999999996E-3</v>
      </c>
      <c r="N162" s="38">
        <f t="shared" si="40"/>
        <v>6.7573794000000001E-3</v>
      </c>
      <c r="Q162" s="38">
        <f t="shared" si="41"/>
        <v>6.7836659000000002E-3</v>
      </c>
    </row>
    <row r="163" spans="1:17" x14ac:dyDescent="0.15">
      <c r="A163" s="41">
        <v>159</v>
      </c>
      <c r="B163" s="144">
        <f t="shared" si="36"/>
        <v>6.8322032000000003E-3</v>
      </c>
      <c r="E163" s="29">
        <f t="shared" si="37"/>
        <v>6.8587822E-3</v>
      </c>
      <c r="H163" s="34">
        <f t="shared" si="38"/>
        <v>6.6871982000000002E-3</v>
      </c>
      <c r="K163" s="34">
        <f t="shared" si="39"/>
        <v>6.7134140999999996E-3</v>
      </c>
      <c r="N163" s="38">
        <f t="shared" si="40"/>
        <v>6.7176147999999996E-3</v>
      </c>
      <c r="Q163" s="38">
        <f t="shared" si="41"/>
        <v>6.7439073999999996E-3</v>
      </c>
    </row>
    <row r="164" spans="1:17" x14ac:dyDescent="0.15">
      <c r="A164" s="41">
        <v>160</v>
      </c>
      <c r="B164" s="144">
        <f t="shared" si="36"/>
        <v>6.7929660999999997E-3</v>
      </c>
      <c r="E164" s="29">
        <f t="shared" si="37"/>
        <v>6.8195529999999999E-3</v>
      </c>
      <c r="H164" s="34">
        <f t="shared" si="38"/>
        <v>6.6479247000000002E-3</v>
      </c>
      <c r="K164" s="34">
        <f t="shared" si="39"/>
        <v>6.6741463999999999E-3</v>
      </c>
      <c r="N164" s="38">
        <f t="shared" si="40"/>
        <v>6.6783479999999997E-3</v>
      </c>
      <c r="Q164" s="38">
        <f t="shared" si="41"/>
        <v>6.7046468000000001E-3</v>
      </c>
    </row>
    <row r="165" spans="1:17" x14ac:dyDescent="0.15">
      <c r="A165" s="41">
        <v>161</v>
      </c>
      <c r="B165" s="144">
        <f t="shared" si="36"/>
        <v>6.7542174999999996E-3</v>
      </c>
      <c r="E165" s="29">
        <f t="shared" si="37"/>
        <v>6.7808123999999999E-3</v>
      </c>
      <c r="H165" s="34">
        <f t="shared" si="38"/>
        <v>6.6091398000000003E-3</v>
      </c>
      <c r="K165" s="34">
        <f t="shared" si="39"/>
        <v>6.6353671999999997E-3</v>
      </c>
      <c r="N165" s="38">
        <f t="shared" si="40"/>
        <v>6.6395697000000004E-3</v>
      </c>
      <c r="Q165" s="38">
        <f t="shared" si="41"/>
        <v>6.6658747000000003E-3</v>
      </c>
    </row>
    <row r="166" spans="1:17" x14ac:dyDescent="0.15">
      <c r="A166" s="41">
        <v>162</v>
      </c>
      <c r="B166" s="144">
        <f t="shared" si="36"/>
        <v>6.7159485E-3</v>
      </c>
      <c r="E166" s="29">
        <f t="shared" si="37"/>
        <v>6.7425512999999999E-3</v>
      </c>
      <c r="H166" s="34">
        <f t="shared" si="38"/>
        <v>6.5708342999999999E-3</v>
      </c>
      <c r="K166" s="34">
        <f t="shared" si="39"/>
        <v>6.5970674E-3</v>
      </c>
      <c r="N166" s="38">
        <f t="shared" si="40"/>
        <v>6.6012709000000001E-3</v>
      </c>
      <c r="Q166" s="38">
        <f t="shared" si="41"/>
        <v>6.6275819999999999E-3</v>
      </c>
    </row>
    <row r="167" spans="1:17" x14ac:dyDescent="0.15">
      <c r="A167" s="41">
        <v>163</v>
      </c>
      <c r="B167" s="144">
        <f t="shared" si="36"/>
        <v>6.6781501000000004E-3</v>
      </c>
      <c r="E167" s="29">
        <f t="shared" si="37"/>
        <v>6.7047610000000001E-3</v>
      </c>
      <c r="H167" s="34">
        <f t="shared" si="38"/>
        <v>6.5329995E-3</v>
      </c>
      <c r="K167" s="34">
        <f t="shared" si="39"/>
        <v>6.5592382000000003E-3</v>
      </c>
      <c r="N167" s="38">
        <f t="shared" si="40"/>
        <v>6.5634426999999999E-3</v>
      </c>
      <c r="Q167" s="38">
        <f t="shared" si="41"/>
        <v>6.5897600000000001E-3</v>
      </c>
    </row>
    <row r="168" spans="1:17" x14ac:dyDescent="0.15">
      <c r="A168" s="41">
        <v>164</v>
      </c>
      <c r="B168" s="144">
        <f t="shared" si="36"/>
        <v>6.6408138E-3</v>
      </c>
      <c r="E168" s="29">
        <f t="shared" si="37"/>
        <v>6.6674326000000003E-3</v>
      </c>
      <c r="H168" s="34">
        <f t="shared" si="38"/>
        <v>6.4956266000000002E-3</v>
      </c>
      <c r="K168" s="34">
        <f t="shared" si="39"/>
        <v>6.5218710999999999E-3</v>
      </c>
      <c r="N168" s="38">
        <f t="shared" si="40"/>
        <v>6.5260765000000002E-3</v>
      </c>
      <c r="Q168" s="38">
        <f t="shared" si="41"/>
        <v>6.5523999999999999E-3</v>
      </c>
    </row>
    <row r="169" spans="1:17" x14ac:dyDescent="0.15">
      <c r="A169" s="41">
        <v>165</v>
      </c>
      <c r="B169" s="144">
        <f t="shared" si="36"/>
        <v>6.6039311999999996E-3</v>
      </c>
      <c r="E169" s="29">
        <f t="shared" si="37"/>
        <v>6.6305579999999999E-3</v>
      </c>
      <c r="H169" s="34">
        <f t="shared" si="38"/>
        <v>6.4587074000000003E-3</v>
      </c>
      <c r="K169" s="34">
        <f t="shared" si="39"/>
        <v>6.4849575999999997E-3</v>
      </c>
      <c r="N169" s="38">
        <f t="shared" si="40"/>
        <v>6.4891640000000004E-3</v>
      </c>
      <c r="Q169" s="38">
        <f t="shared" si="41"/>
        <v>6.5154936E-3</v>
      </c>
    </row>
    <row r="170" spans="1:17" x14ac:dyDescent="0.15">
      <c r="A170" s="41">
        <v>166</v>
      </c>
      <c r="B170" s="144">
        <f t="shared" si="36"/>
        <v>6.5674940000000001E-3</v>
      </c>
      <c r="E170" s="29">
        <f t="shared" si="37"/>
        <v>6.5941289000000002E-3</v>
      </c>
      <c r="H170" s="34">
        <f t="shared" si="38"/>
        <v>6.4222335999999996E-3</v>
      </c>
      <c r="K170" s="34">
        <f t="shared" si="39"/>
        <v>6.4484894999999997E-3</v>
      </c>
      <c r="N170" s="38">
        <f t="shared" si="40"/>
        <v>6.4526968000000002E-3</v>
      </c>
      <c r="Q170" s="38">
        <f t="shared" si="41"/>
        <v>6.4790326999999998E-3</v>
      </c>
    </row>
    <row r="171" spans="1:17" x14ac:dyDescent="0.15">
      <c r="A171" s="41">
        <v>167</v>
      </c>
      <c r="B171" s="144">
        <f t="shared" si="36"/>
        <v>6.5314943000000002E-3</v>
      </c>
      <c r="E171" s="29">
        <f t="shared" si="37"/>
        <v>6.5581372000000004E-3</v>
      </c>
      <c r="H171" s="34">
        <f t="shared" si="38"/>
        <v>6.3861971000000002E-3</v>
      </c>
      <c r="K171" s="34">
        <f t="shared" si="39"/>
        <v>6.4124587999999996E-3</v>
      </c>
      <c r="N171" s="38">
        <f t="shared" si="40"/>
        <v>6.4166670999999996E-3</v>
      </c>
      <c r="Q171" s="38">
        <f t="shared" si="41"/>
        <v>6.4430091999999996E-3</v>
      </c>
    </row>
    <row r="172" spans="1:17" x14ac:dyDescent="0.15">
      <c r="A172" s="41">
        <v>168</v>
      </c>
      <c r="B172" s="144">
        <f t="shared" si="36"/>
        <v>6.4959242999999998E-3</v>
      </c>
      <c r="E172" s="29">
        <f t="shared" si="37"/>
        <v>6.5225752000000001E-3</v>
      </c>
      <c r="H172" s="34">
        <f t="shared" si="38"/>
        <v>6.3505903000000002E-3</v>
      </c>
      <c r="K172" s="34">
        <f t="shared" si="39"/>
        <v>6.3768577000000003E-3</v>
      </c>
      <c r="N172" s="38">
        <f t="shared" si="40"/>
        <v>6.3810669999999998E-3</v>
      </c>
      <c r="Q172" s="38">
        <f t="shared" si="41"/>
        <v>6.4074153999999998E-3</v>
      </c>
    </row>
    <row r="173" spans="1:17" x14ac:dyDescent="0.15">
      <c r="A173" s="41">
        <v>169</v>
      </c>
      <c r="B173" s="144">
        <f t="shared" si="36"/>
        <v>6.4607763000000002E-3</v>
      </c>
      <c r="E173" s="29">
        <f t="shared" si="37"/>
        <v>6.4874353000000003E-3</v>
      </c>
      <c r="H173" s="34">
        <f t="shared" si="38"/>
        <v>6.3154055000000002E-3</v>
      </c>
      <c r="K173" s="34">
        <f t="shared" si="39"/>
        <v>6.3416786999999997E-3</v>
      </c>
      <c r="N173" s="38">
        <f t="shared" si="40"/>
        <v>6.3458888999999999E-3</v>
      </c>
      <c r="Q173" s="38">
        <f t="shared" si="41"/>
        <v>6.3722435000000003E-3</v>
      </c>
    </row>
    <row r="174" spans="1:17" x14ac:dyDescent="0.15">
      <c r="A174" s="41">
        <v>170</v>
      </c>
      <c r="B174" s="144">
        <f t="shared" si="36"/>
        <v>6.4260428999999997E-3</v>
      </c>
      <c r="E174" s="29">
        <f t="shared" si="37"/>
        <v>6.4527098999999999E-3</v>
      </c>
      <c r="H174" s="34">
        <f t="shared" si="38"/>
        <v>6.2806351999999998E-3</v>
      </c>
      <c r="K174" s="34">
        <f t="shared" si="39"/>
        <v>6.3069140999999999E-3</v>
      </c>
      <c r="N174" s="38">
        <f t="shared" si="40"/>
        <v>6.3111253000000004E-3</v>
      </c>
      <c r="Q174" s="38">
        <f t="shared" si="41"/>
        <v>6.3374861999999999E-3</v>
      </c>
    </row>
    <row r="175" spans="1:17" x14ac:dyDescent="0.15">
      <c r="A175" s="41">
        <v>171</v>
      </c>
      <c r="B175" s="144">
        <f t="shared" si="36"/>
        <v>6.3917167999999998E-3</v>
      </c>
      <c r="E175" s="29">
        <f t="shared" si="37"/>
        <v>6.4183918999999997E-3</v>
      </c>
      <c r="H175" s="34">
        <f t="shared" si="38"/>
        <v>6.2462721000000002E-3</v>
      </c>
      <c r="K175" s="34">
        <f t="shared" si="39"/>
        <v>6.2725569000000002E-3</v>
      </c>
      <c r="N175" s="38">
        <f t="shared" si="40"/>
        <v>6.2767689999999998E-3</v>
      </c>
      <c r="Q175" s="38">
        <f t="shared" si="41"/>
        <v>6.3031362000000001E-3</v>
      </c>
    </row>
    <row r="176" spans="1:17" x14ac:dyDescent="0.15">
      <c r="A176" s="41">
        <v>172</v>
      </c>
      <c r="B176" s="144">
        <f t="shared" si="36"/>
        <v>6.3577909000000002E-3</v>
      </c>
      <c r="E176" s="29">
        <f t="shared" si="37"/>
        <v>6.3844740999999998E-3</v>
      </c>
      <c r="H176" s="34">
        <f t="shared" si="38"/>
        <v>6.2123092000000001E-3</v>
      </c>
      <c r="K176" s="34">
        <f t="shared" si="39"/>
        <v>6.2385996999999999E-3</v>
      </c>
      <c r="N176" s="38">
        <f t="shared" si="40"/>
        <v>6.2428129000000002E-3</v>
      </c>
      <c r="Q176" s="38">
        <f t="shared" si="41"/>
        <v>6.2691863E-3</v>
      </c>
    </row>
    <row r="177" spans="1:17" x14ac:dyDescent="0.15">
      <c r="A177" s="41">
        <v>173</v>
      </c>
      <c r="B177" s="144">
        <f t="shared" si="36"/>
        <v>6.3242582999999998E-3</v>
      </c>
      <c r="E177" s="29">
        <f t="shared" si="37"/>
        <v>6.3509494999999996E-3</v>
      </c>
      <c r="H177" s="34">
        <f t="shared" si="38"/>
        <v>6.1787394999999997E-3</v>
      </c>
      <c r="K177" s="34">
        <f t="shared" si="39"/>
        <v>6.2050359000000001E-3</v>
      </c>
      <c r="N177" s="38">
        <f t="shared" si="40"/>
        <v>6.2092498999999999E-3</v>
      </c>
      <c r="Q177" s="38">
        <f t="shared" si="41"/>
        <v>6.2356297000000002E-3</v>
      </c>
    </row>
    <row r="178" spans="1:17" x14ac:dyDescent="0.15">
      <c r="A178" s="41">
        <v>174</v>
      </c>
      <c r="B178" s="144">
        <f t="shared" si="36"/>
        <v>6.2911121000000002E-3</v>
      </c>
      <c r="E178" s="29">
        <f t="shared" si="37"/>
        <v>6.3178113999999997E-3</v>
      </c>
      <c r="H178" s="34">
        <f t="shared" si="38"/>
        <v>6.1455562E-3</v>
      </c>
      <c r="K178" s="34">
        <f t="shared" si="39"/>
        <v>6.1718583999999998E-3</v>
      </c>
      <c r="N178" s="38">
        <f t="shared" si="40"/>
        <v>6.1760735000000004E-3</v>
      </c>
      <c r="Q178" s="38">
        <f t="shared" si="41"/>
        <v>6.2024595000000002E-3</v>
      </c>
    </row>
    <row r="179" spans="1:17" x14ac:dyDescent="0.15">
      <c r="A179" s="41">
        <v>175</v>
      </c>
      <c r="B179" s="144">
        <f t="shared" si="36"/>
        <v>6.2583459000000001E-3</v>
      </c>
      <c r="E179" s="29">
        <f t="shared" si="37"/>
        <v>6.2850533000000002E-3</v>
      </c>
      <c r="H179" s="34">
        <f t="shared" si="38"/>
        <v>6.1127528000000002E-3</v>
      </c>
      <c r="K179" s="34">
        <f t="shared" si="39"/>
        <v>6.1390608000000003E-3</v>
      </c>
      <c r="N179" s="38">
        <f t="shared" si="40"/>
        <v>6.1432767999999999E-3</v>
      </c>
      <c r="Q179" s="38">
        <f t="shared" si="41"/>
        <v>6.1696690999999996E-3</v>
      </c>
    </row>
    <row r="180" spans="1:17" x14ac:dyDescent="0.15">
      <c r="A180" s="41">
        <v>176</v>
      </c>
      <c r="B180" s="144">
        <f t="shared" si="36"/>
        <v>6.2259528999999997E-3</v>
      </c>
      <c r="E180" s="29">
        <f t="shared" si="37"/>
        <v>6.2526685E-3</v>
      </c>
      <c r="H180" s="34">
        <f t="shared" si="38"/>
        <v>6.0803226000000002E-3</v>
      </c>
      <c r="K180" s="34">
        <f t="shared" si="39"/>
        <v>6.1066365000000001E-3</v>
      </c>
      <c r="N180" s="38">
        <f t="shared" si="40"/>
        <v>6.1108535E-3</v>
      </c>
      <c r="Q180" s="38">
        <f t="shared" si="41"/>
        <v>6.1372520999999998E-3</v>
      </c>
    </row>
    <row r="181" spans="1:17" x14ac:dyDescent="0.15">
      <c r="A181" s="41">
        <v>177</v>
      </c>
      <c r="B181" s="144">
        <f t="shared" si="36"/>
        <v>6.1939270999999997E-3</v>
      </c>
      <c r="E181" s="29">
        <f t="shared" si="37"/>
        <v>6.2206507000000001E-3</v>
      </c>
      <c r="H181" s="34">
        <f t="shared" si="38"/>
        <v>6.0482595E-3</v>
      </c>
      <c r="K181" s="34">
        <f t="shared" si="39"/>
        <v>6.0745792000000002E-3</v>
      </c>
      <c r="N181" s="38">
        <f t="shared" si="40"/>
        <v>6.0787971999999996E-3</v>
      </c>
      <c r="Q181" s="38">
        <f t="shared" si="41"/>
        <v>6.1052021999999997E-3</v>
      </c>
    </row>
    <row r="182" spans="1:17" x14ac:dyDescent="0.15">
      <c r="A182" s="41">
        <v>178</v>
      </c>
      <c r="B182" s="144">
        <f t="shared" si="36"/>
        <v>6.1622621000000004E-3</v>
      </c>
      <c r="E182" s="29">
        <f t="shared" si="37"/>
        <v>6.1889939000000001E-3</v>
      </c>
      <c r="H182" s="34">
        <f t="shared" si="38"/>
        <v>6.0165571999999997E-3</v>
      </c>
      <c r="K182" s="34">
        <f t="shared" si="39"/>
        <v>6.0428827999999997E-3</v>
      </c>
      <c r="N182" s="38">
        <f t="shared" si="40"/>
        <v>6.0471016999999998E-3</v>
      </c>
      <c r="Q182" s="38">
        <f t="shared" si="41"/>
        <v>6.073513E-3</v>
      </c>
    </row>
    <row r="183" spans="1:17" x14ac:dyDescent="0.15">
      <c r="A183" s="41">
        <v>179</v>
      </c>
      <c r="B183" s="144">
        <f t="shared" si="36"/>
        <v>6.1309520000000003E-3</v>
      </c>
      <c r="E183" s="29">
        <f t="shared" si="37"/>
        <v>6.1576918999999997E-3</v>
      </c>
      <c r="H183" s="34">
        <f t="shared" si="38"/>
        <v>5.9852096999999998E-3</v>
      </c>
      <c r="K183" s="34">
        <f t="shared" si="39"/>
        <v>6.0115411000000001E-3</v>
      </c>
      <c r="N183" s="38">
        <f t="shared" si="40"/>
        <v>6.0157609999999997E-3</v>
      </c>
      <c r="Q183" s="38">
        <f t="shared" si="41"/>
        <v>6.0421787000000003E-3</v>
      </c>
    </row>
    <row r="184" spans="1:17" x14ac:dyDescent="0.15">
      <c r="A184" s="41">
        <v>180</v>
      </c>
      <c r="B184" s="144">
        <f t="shared" si="36"/>
        <v>6.0999907000000003E-3</v>
      </c>
      <c r="E184" s="29">
        <f t="shared" si="37"/>
        <v>6.1267387000000003E-3</v>
      </c>
      <c r="H184" s="34">
        <f t="shared" si="38"/>
        <v>5.9542110000000001E-3</v>
      </c>
      <c r="K184" s="34">
        <f t="shared" si="39"/>
        <v>5.9805483000000001E-3</v>
      </c>
      <c r="N184" s="38">
        <f t="shared" si="40"/>
        <v>5.9847692000000001E-3</v>
      </c>
      <c r="Q184" s="38">
        <f t="shared" si="41"/>
        <v>6.0111931999999998E-3</v>
      </c>
    </row>
    <row r="185" spans="1:17" x14ac:dyDescent="0.15">
      <c r="A185" s="41">
        <v>181</v>
      </c>
      <c r="B185" s="144">
        <f t="shared" si="36"/>
        <v>6.0693726000000002E-3</v>
      </c>
      <c r="E185" s="29">
        <f t="shared" si="37"/>
        <v>6.0961288000000004E-3</v>
      </c>
      <c r="H185" s="34">
        <f t="shared" si="38"/>
        <v>5.9235553999999998E-3</v>
      </c>
      <c r="K185" s="34">
        <f t="shared" si="39"/>
        <v>5.9498985999999997E-3</v>
      </c>
      <c r="N185" s="38">
        <f t="shared" si="40"/>
        <v>5.9541205E-3</v>
      </c>
      <c r="Q185" s="38">
        <f t="shared" si="41"/>
        <v>5.9805509000000001E-3</v>
      </c>
    </row>
    <row r="186" spans="1:17" x14ac:dyDescent="0.15">
      <c r="A186" s="41">
        <v>182</v>
      </c>
      <c r="B186" s="144">
        <f t="shared" si="36"/>
        <v>6.0390918999999998E-3</v>
      </c>
      <c r="E186" s="29">
        <f t="shared" si="37"/>
        <v>6.0658563000000002E-3</v>
      </c>
      <c r="H186" s="34">
        <f t="shared" si="38"/>
        <v>5.8932372999999996E-3</v>
      </c>
      <c r="K186" s="34">
        <f t="shared" si="39"/>
        <v>5.9195864000000003E-3</v>
      </c>
      <c r="N186" s="38">
        <f t="shared" si="40"/>
        <v>5.9238091999999996E-3</v>
      </c>
      <c r="Q186" s="38">
        <f t="shared" si="41"/>
        <v>5.9502458999999997E-3</v>
      </c>
    </row>
    <row r="187" spans="1:17" x14ac:dyDescent="0.15">
      <c r="A187" s="41">
        <v>183</v>
      </c>
      <c r="B187" s="144">
        <f t="shared" si="36"/>
        <v>6.0091431999999998E-3</v>
      </c>
      <c r="E187" s="29">
        <f t="shared" si="37"/>
        <v>6.0359157E-3</v>
      </c>
      <c r="H187" s="34">
        <f t="shared" si="38"/>
        <v>5.8632509999999999E-3</v>
      </c>
      <c r="K187" s="34">
        <f t="shared" si="39"/>
        <v>5.8896060000000004E-3</v>
      </c>
      <c r="N187" s="38">
        <f t="shared" si="40"/>
        <v>5.8938298E-3</v>
      </c>
      <c r="Q187" s="38">
        <f t="shared" si="41"/>
        <v>5.9202728999999997E-3</v>
      </c>
    </row>
    <row r="188" spans="1:17" x14ac:dyDescent="0.15">
      <c r="A188" s="41">
        <v>184</v>
      </c>
      <c r="B188" s="144">
        <f t="shared" si="36"/>
        <v>5.9795209999999998E-3</v>
      </c>
      <c r="E188" s="29">
        <f t="shared" si="37"/>
        <v>6.0063017000000002E-3</v>
      </c>
      <c r="H188" s="34">
        <f t="shared" si="38"/>
        <v>5.8335912E-3</v>
      </c>
      <c r="K188" s="34">
        <f t="shared" si="39"/>
        <v>5.8599521000000003E-3</v>
      </c>
      <c r="N188" s="38">
        <f t="shared" si="40"/>
        <v>5.8641769000000003E-3</v>
      </c>
      <c r="Q188" s="38">
        <f t="shared" si="41"/>
        <v>5.8906263999999996E-3</v>
      </c>
    </row>
    <row r="189" spans="1:17" x14ac:dyDescent="0.15">
      <c r="A189" s="41">
        <v>185</v>
      </c>
      <c r="B189" s="144">
        <f t="shared" si="36"/>
        <v>5.95022E-3</v>
      </c>
      <c r="E189" s="29">
        <f t="shared" si="37"/>
        <v>5.9770088999999997E-3</v>
      </c>
      <c r="H189" s="34">
        <f t="shared" si="38"/>
        <v>5.8042526000000004E-3</v>
      </c>
      <c r="K189" s="34">
        <f t="shared" si="39"/>
        <v>5.8306193999999997E-3</v>
      </c>
      <c r="N189" s="38">
        <f t="shared" si="40"/>
        <v>5.8348452E-3</v>
      </c>
      <c r="Q189" s="38">
        <f t="shared" si="41"/>
        <v>5.8613010999999998E-3</v>
      </c>
    </row>
    <row r="190" spans="1:17" x14ac:dyDescent="0.15">
      <c r="A190" s="41">
        <v>186</v>
      </c>
      <c r="B190" s="144">
        <f t="shared" si="36"/>
        <v>5.9212351E-3</v>
      </c>
      <c r="E190" s="29">
        <f t="shared" si="37"/>
        <v>5.9480321999999999E-3</v>
      </c>
      <c r="H190" s="34">
        <f t="shared" si="38"/>
        <v>5.7752300000000001E-3</v>
      </c>
      <c r="K190" s="34">
        <f t="shared" si="39"/>
        <v>5.8016027000000001E-3</v>
      </c>
      <c r="N190" s="38">
        <f t="shared" si="40"/>
        <v>5.8058294999999999E-3</v>
      </c>
      <c r="Q190" s="38">
        <f t="shared" si="41"/>
        <v>5.8322918000000001E-3</v>
      </c>
    </row>
    <row r="191" spans="1:17" x14ac:dyDescent="0.15">
      <c r="A191" s="41">
        <v>187</v>
      </c>
      <c r="B191" s="144">
        <f t="shared" si="36"/>
        <v>5.8925612000000002E-3</v>
      </c>
      <c r="E191" s="29">
        <f t="shared" si="37"/>
        <v>5.9193663999999998E-3</v>
      </c>
      <c r="H191" s="34">
        <f t="shared" si="38"/>
        <v>5.7465184000000001E-3</v>
      </c>
      <c r="K191" s="34">
        <f t="shared" si="39"/>
        <v>5.7728969999999999E-3</v>
      </c>
      <c r="N191" s="38">
        <f t="shared" si="40"/>
        <v>5.7771248000000001E-3</v>
      </c>
      <c r="Q191" s="38">
        <f t="shared" si="41"/>
        <v>5.8035934999999999E-3</v>
      </c>
    </row>
    <row r="192" spans="1:17" x14ac:dyDescent="0.15">
      <c r="A192" s="41">
        <v>188</v>
      </c>
      <c r="B192" s="144">
        <f t="shared" si="36"/>
        <v>5.8641932000000003E-3</v>
      </c>
      <c r="E192" s="29">
        <f t="shared" si="37"/>
        <v>5.8910066999999997E-3</v>
      </c>
      <c r="H192" s="34">
        <f t="shared" si="38"/>
        <v>5.7181126999999998E-3</v>
      </c>
      <c r="K192" s="34">
        <f t="shared" si="39"/>
        <v>5.7444972000000004E-3</v>
      </c>
      <c r="N192" s="38">
        <f t="shared" si="40"/>
        <v>5.748726E-3</v>
      </c>
      <c r="Q192" s="38">
        <f t="shared" si="41"/>
        <v>5.7752011000000002E-3</v>
      </c>
    </row>
    <row r="193" spans="1:17" x14ac:dyDescent="0.15">
      <c r="A193" s="41">
        <v>189</v>
      </c>
      <c r="B193" s="144">
        <f t="shared" si="36"/>
        <v>5.8361265000000002E-3</v>
      </c>
      <c r="E193" s="29">
        <f t="shared" si="37"/>
        <v>5.8629481000000002E-3</v>
      </c>
      <c r="H193" s="34">
        <f t="shared" si="38"/>
        <v>5.6900081000000003E-3</v>
      </c>
      <c r="K193" s="34">
        <f t="shared" si="39"/>
        <v>5.7163986000000003E-3</v>
      </c>
      <c r="N193" s="38">
        <f t="shared" si="40"/>
        <v>5.7206284000000003E-3</v>
      </c>
      <c r="Q193" s="38">
        <f t="shared" si="41"/>
        <v>5.7471099000000001E-3</v>
      </c>
    </row>
    <row r="194" spans="1:17" x14ac:dyDescent="0.15">
      <c r="A194" s="41">
        <v>190</v>
      </c>
      <c r="B194" s="144">
        <f t="shared" si="36"/>
        <v>5.8083561000000002E-3</v>
      </c>
      <c r="E194" s="29">
        <f t="shared" si="37"/>
        <v>5.835186E-3</v>
      </c>
      <c r="H194" s="34">
        <f t="shared" si="38"/>
        <v>5.6621998999999996E-3</v>
      </c>
      <c r="K194" s="34">
        <f t="shared" si="39"/>
        <v>5.6885963999999999E-3</v>
      </c>
      <c r="N194" s="38">
        <f t="shared" si="40"/>
        <v>5.6928270999999997E-3</v>
      </c>
      <c r="Q194" s="38">
        <f t="shared" si="41"/>
        <v>5.7193150999999996E-3</v>
      </c>
    </row>
    <row r="195" spans="1:17" x14ac:dyDescent="0.15">
      <c r="A195" s="41">
        <v>191</v>
      </c>
      <c r="B195" s="144">
        <f t="shared" si="36"/>
        <v>5.7808775E-3</v>
      </c>
      <c r="E195" s="29">
        <f t="shared" si="37"/>
        <v>5.8077156E-3</v>
      </c>
      <c r="H195" s="34">
        <f t="shared" si="38"/>
        <v>5.6346833999999998E-3</v>
      </c>
      <c r="K195" s="34">
        <f t="shared" si="39"/>
        <v>5.6610858E-3</v>
      </c>
      <c r="N195" s="38">
        <f t="shared" si="40"/>
        <v>5.6653175999999998E-3</v>
      </c>
      <c r="Q195" s="38">
        <f t="shared" si="41"/>
        <v>5.6918120000000001E-3</v>
      </c>
    </row>
    <row r="196" spans="1:17" x14ac:dyDescent="0.15">
      <c r="A196" s="41">
        <v>192</v>
      </c>
      <c r="B196" s="144">
        <f t="shared" si="36"/>
        <v>5.7536860999999996E-3</v>
      </c>
      <c r="E196" s="29">
        <f t="shared" si="37"/>
        <v>5.7805323999999998E-3</v>
      </c>
      <c r="H196" s="34">
        <f t="shared" si="38"/>
        <v>5.6074540000000004E-3</v>
      </c>
      <c r="K196" s="34">
        <f t="shared" si="39"/>
        <v>5.6338624E-3</v>
      </c>
      <c r="N196" s="38">
        <f t="shared" si="40"/>
        <v>5.6380952000000002E-3</v>
      </c>
      <c r="Q196" s="38">
        <f t="shared" si="41"/>
        <v>5.664596E-3</v>
      </c>
    </row>
    <row r="197" spans="1:17" x14ac:dyDescent="0.15">
      <c r="A197" s="41">
        <v>193</v>
      </c>
      <c r="B197" s="144">
        <f t="shared" si="36"/>
        <v>5.7267773000000003E-3</v>
      </c>
      <c r="E197" s="29">
        <f t="shared" si="37"/>
        <v>5.7536319000000002E-3</v>
      </c>
      <c r="H197" s="34">
        <f t="shared" si="38"/>
        <v>5.5805074000000003E-3</v>
      </c>
      <c r="K197" s="34">
        <f t="shared" si="39"/>
        <v>5.6069218000000002E-3</v>
      </c>
      <c r="N197" s="38">
        <f t="shared" si="40"/>
        <v>5.6111555000000002E-3</v>
      </c>
      <c r="Q197" s="38">
        <f t="shared" si="41"/>
        <v>5.6376628000000002E-3</v>
      </c>
    </row>
    <row r="198" spans="1:17" x14ac:dyDescent="0.15">
      <c r="A198" s="41">
        <v>194</v>
      </c>
      <c r="B198" s="144">
        <f t="shared" ref="B198:B261" si="42">ROUND(D$2*(1+D$2)^$A198/((1+D$2)^$A198-1),10)</f>
        <v>5.700147E-3</v>
      </c>
      <c r="E198" s="29">
        <f t="shared" ref="E198:E261" si="43">ROUND(G$2*(1+G$2)^$A198/((1+G$2)^$A198-1),10)</f>
        <v>5.7270098000000002E-3</v>
      </c>
      <c r="H198" s="34">
        <f t="shared" si="38"/>
        <v>5.5538389999999997E-3</v>
      </c>
      <c r="K198" s="34">
        <f t="shared" si="39"/>
        <v>5.5802593999999999E-3</v>
      </c>
      <c r="N198" s="38">
        <f t="shared" si="40"/>
        <v>5.5844941000000002E-3</v>
      </c>
      <c r="Q198" s="38">
        <f t="shared" si="41"/>
        <v>5.6110079000000002E-3</v>
      </c>
    </row>
    <row r="199" spans="1:17" x14ac:dyDescent="0.15">
      <c r="A199" s="41">
        <v>195</v>
      </c>
      <c r="B199" s="144">
        <f t="shared" si="42"/>
        <v>5.6737907000000004E-3</v>
      </c>
      <c r="E199" s="29">
        <f t="shared" si="43"/>
        <v>5.7006618000000004E-3</v>
      </c>
      <c r="H199" s="34">
        <f t="shared" si="38"/>
        <v>5.5274447000000001E-3</v>
      </c>
      <c r="K199" s="34">
        <f t="shared" si="39"/>
        <v>5.5538710999999998E-3</v>
      </c>
      <c r="N199" s="38">
        <f t="shared" si="40"/>
        <v>5.5581068000000004E-3</v>
      </c>
      <c r="Q199" s="38">
        <f t="shared" si="41"/>
        <v>5.584627E-3</v>
      </c>
    </row>
    <row r="200" spans="1:17" x14ac:dyDescent="0.15">
      <c r="A200" s="41">
        <v>196</v>
      </c>
      <c r="B200" s="144">
        <f t="shared" si="42"/>
        <v>5.6477042999999996E-3</v>
      </c>
      <c r="E200" s="29">
        <f t="shared" si="43"/>
        <v>5.6745835999999997E-3</v>
      </c>
      <c r="H200" s="34">
        <f t="shared" si="38"/>
        <v>5.5013201999999997E-3</v>
      </c>
      <c r="K200" s="34">
        <f t="shared" si="39"/>
        <v>5.5277525999999997E-3</v>
      </c>
      <c r="N200" s="38">
        <f t="shared" si="40"/>
        <v>5.5319892999999998E-3</v>
      </c>
      <c r="Q200" s="38">
        <f t="shared" si="41"/>
        <v>5.5585160000000003E-3</v>
      </c>
    </row>
    <row r="201" spans="1:17" x14ac:dyDescent="0.15">
      <c r="A201" s="41">
        <v>197</v>
      </c>
      <c r="B201" s="144">
        <f t="shared" si="42"/>
        <v>5.6218835999999996E-3</v>
      </c>
      <c r="E201" s="29">
        <f t="shared" si="43"/>
        <v>5.6487712000000004E-3</v>
      </c>
      <c r="H201" s="34">
        <f t="shared" si="38"/>
        <v>5.4754614999999998E-3</v>
      </c>
      <c r="K201" s="34">
        <f t="shared" si="39"/>
        <v>5.5018997999999996E-3</v>
      </c>
      <c r="N201" s="38">
        <f t="shared" si="40"/>
        <v>5.5061375999999997E-3</v>
      </c>
      <c r="Q201" s="38">
        <f t="shared" si="41"/>
        <v>5.5326706999999998E-3</v>
      </c>
    </row>
    <row r="202" spans="1:17" x14ac:dyDescent="0.15">
      <c r="A202" s="41">
        <v>198</v>
      </c>
      <c r="B202" s="144">
        <f t="shared" si="42"/>
        <v>5.5963247000000004E-3</v>
      </c>
      <c r="E202" s="29">
        <f t="shared" si="43"/>
        <v>5.6232206000000002E-3</v>
      </c>
      <c r="H202" s="34">
        <f t="shared" si="38"/>
        <v>5.4498645000000002E-3</v>
      </c>
      <c r="K202" s="34">
        <f t="shared" si="39"/>
        <v>5.4763088000000003E-3</v>
      </c>
      <c r="N202" s="38">
        <f t="shared" si="40"/>
        <v>5.4805475000000003E-3</v>
      </c>
      <c r="Q202" s="38">
        <f t="shared" si="41"/>
        <v>5.5070872E-3</v>
      </c>
    </row>
    <row r="203" spans="1:17" x14ac:dyDescent="0.15">
      <c r="A203" s="41">
        <v>199</v>
      </c>
      <c r="B203" s="144">
        <f t="shared" si="42"/>
        <v>5.5710235999999998E-3</v>
      </c>
      <c r="E203" s="29">
        <f t="shared" si="43"/>
        <v>5.5979278000000002E-3</v>
      </c>
      <c r="H203" s="34">
        <f t="shared" si="38"/>
        <v>5.4245252000000004E-3</v>
      </c>
      <c r="K203" s="34">
        <f t="shared" si="39"/>
        <v>5.4509755E-3</v>
      </c>
      <c r="N203" s="38">
        <f t="shared" si="40"/>
        <v>5.4552152000000003E-3</v>
      </c>
      <c r="Q203" s="38">
        <f t="shared" si="41"/>
        <v>5.4817614000000001E-3</v>
      </c>
    </row>
    <row r="204" spans="1:17" x14ac:dyDescent="0.15">
      <c r="A204" s="41">
        <v>200</v>
      </c>
      <c r="B204" s="144">
        <f t="shared" si="42"/>
        <v>5.5459764000000003E-3</v>
      </c>
      <c r="E204" s="29">
        <f t="shared" si="43"/>
        <v>5.5728888999999997E-3</v>
      </c>
      <c r="H204" s="34">
        <f t="shared" si="38"/>
        <v>5.3994398000000001E-3</v>
      </c>
      <c r="K204" s="34">
        <f t="shared" si="39"/>
        <v>5.4258962000000004E-3</v>
      </c>
      <c r="N204" s="38">
        <f t="shared" si="40"/>
        <v>5.4301369000000002E-3</v>
      </c>
      <c r="Q204" s="38">
        <f t="shared" si="41"/>
        <v>5.4566895000000004E-3</v>
      </c>
    </row>
    <row r="205" spans="1:17" x14ac:dyDescent="0.15">
      <c r="A205" s="41">
        <v>201</v>
      </c>
      <c r="B205" s="144">
        <f t="shared" si="42"/>
        <v>5.5211794000000003E-3</v>
      </c>
      <c r="E205" s="29">
        <f t="shared" si="43"/>
        <v>5.5481000999999999E-3</v>
      </c>
      <c r="H205" s="34">
        <f t="shared" si="38"/>
        <v>5.3746044999999996E-3</v>
      </c>
      <c r="K205" s="34">
        <f t="shared" si="39"/>
        <v>5.4010669000000002E-3</v>
      </c>
      <c r="N205" s="38">
        <f t="shared" si="40"/>
        <v>5.4053086000000004E-3</v>
      </c>
      <c r="Q205" s="38">
        <f t="shared" si="41"/>
        <v>5.4318678000000002E-3</v>
      </c>
    </row>
    <row r="206" spans="1:17" x14ac:dyDescent="0.15">
      <c r="A206" s="41">
        <v>202</v>
      </c>
      <c r="B206" s="144">
        <f t="shared" si="42"/>
        <v>5.4966286999999997E-3</v>
      </c>
      <c r="E206" s="29">
        <f t="shared" si="43"/>
        <v>5.5235576999999999E-3</v>
      </c>
      <c r="H206" s="34">
        <f t="shared" si="38"/>
        <v>5.3500155999999998E-3</v>
      </c>
      <c r="K206" s="34">
        <f t="shared" si="39"/>
        <v>5.376484E-3</v>
      </c>
      <c r="N206" s="38">
        <f t="shared" si="40"/>
        <v>5.3807267000000004E-3</v>
      </c>
      <c r="Q206" s="38">
        <f t="shared" si="41"/>
        <v>5.4072924000000003E-3</v>
      </c>
    </row>
    <row r="207" spans="1:17" x14ac:dyDescent="0.15">
      <c r="A207" s="41">
        <v>203</v>
      </c>
      <c r="B207" s="144">
        <f t="shared" si="42"/>
        <v>5.4723209E-3</v>
      </c>
      <c r="E207" s="29">
        <f t="shared" si="43"/>
        <v>5.4992582E-3</v>
      </c>
      <c r="H207" s="34">
        <f t="shared" si="38"/>
        <v>5.3256694E-3</v>
      </c>
      <c r="K207" s="34">
        <f t="shared" si="39"/>
        <v>5.3521439000000001E-3</v>
      </c>
      <c r="N207" s="38">
        <f t="shared" si="40"/>
        <v>5.3563876E-3</v>
      </c>
      <c r="Q207" s="38">
        <f t="shared" si="41"/>
        <v>5.3829597999999999E-3</v>
      </c>
    </row>
    <row r="208" spans="1:17" x14ac:dyDescent="0.15">
      <c r="A208" s="41">
        <v>204</v>
      </c>
      <c r="B208" s="144">
        <f t="shared" si="42"/>
        <v>5.4482521999999999E-3</v>
      </c>
      <c r="E208" s="29">
        <f t="shared" si="43"/>
        <v>5.4751977999999996E-3</v>
      </c>
      <c r="H208" s="34">
        <f t="shared" si="38"/>
        <v>5.3015624999999999E-3</v>
      </c>
      <c r="K208" s="34">
        <f t="shared" si="39"/>
        <v>5.3280430000000002E-3</v>
      </c>
      <c r="N208" s="38">
        <f t="shared" si="40"/>
        <v>5.3322876999999996E-3</v>
      </c>
      <c r="Q208" s="38">
        <f t="shared" si="41"/>
        <v>5.3588663999999996E-3</v>
      </c>
    </row>
    <row r="209" spans="1:17" x14ac:dyDescent="0.15">
      <c r="A209" s="41">
        <v>205</v>
      </c>
      <c r="B209" s="144">
        <f t="shared" si="42"/>
        <v>5.4244193000000003E-3</v>
      </c>
      <c r="E209" s="29">
        <f t="shared" si="43"/>
        <v>5.4513731999999999E-3</v>
      </c>
      <c r="H209" s="34">
        <f t="shared" si="38"/>
        <v>5.2776912000000002E-3</v>
      </c>
      <c r="K209" s="34">
        <f t="shared" si="39"/>
        <v>5.3041777E-3</v>
      </c>
      <c r="N209" s="38">
        <f t="shared" si="40"/>
        <v>5.3084235000000002E-3</v>
      </c>
      <c r="Q209" s="38">
        <f t="shared" si="41"/>
        <v>5.3350087000000003E-3</v>
      </c>
    </row>
    <row r="210" spans="1:17" x14ac:dyDescent="0.15">
      <c r="A210" s="41">
        <v>206</v>
      </c>
      <c r="B210" s="144">
        <f t="shared" si="42"/>
        <v>5.4008186000000001E-3</v>
      </c>
      <c r="E210" s="29">
        <f t="shared" si="43"/>
        <v>5.4277809E-3</v>
      </c>
      <c r="H210" s="34">
        <f t="shared" si="38"/>
        <v>5.2540521E-3</v>
      </c>
      <c r="K210" s="34">
        <f t="shared" si="39"/>
        <v>5.2805446999999997E-3</v>
      </c>
      <c r="N210" s="38">
        <f t="shared" si="40"/>
        <v>5.2847915000000002E-3</v>
      </c>
      <c r="Q210" s="38">
        <f t="shared" si="41"/>
        <v>5.3113832000000003E-3</v>
      </c>
    </row>
    <row r="211" spans="1:17" x14ac:dyDescent="0.15">
      <c r="A211" s="41">
        <v>207</v>
      </c>
      <c r="B211" s="144">
        <f t="shared" si="42"/>
        <v>5.3774469E-3</v>
      </c>
      <c r="E211" s="29">
        <f t="shared" si="43"/>
        <v>5.4044174E-3</v>
      </c>
      <c r="H211" s="34">
        <f t="shared" si="38"/>
        <v>5.2306419000000002E-3</v>
      </c>
      <c r="K211" s="34">
        <f t="shared" si="39"/>
        <v>5.2571405999999998E-3</v>
      </c>
      <c r="N211" s="38">
        <f t="shared" si="40"/>
        <v>5.2613883999999998E-3</v>
      </c>
      <c r="Q211" s="38">
        <f t="shared" si="41"/>
        <v>5.2879865999999999E-3</v>
      </c>
    </row>
    <row r="212" spans="1:17" x14ac:dyDescent="0.15">
      <c r="A212" s="41">
        <v>208</v>
      </c>
      <c r="B212" s="144">
        <f t="shared" si="42"/>
        <v>5.3543007E-3</v>
      </c>
      <c r="E212" s="29">
        <f t="shared" si="43"/>
        <v>5.3812796000000003E-3</v>
      </c>
      <c r="H212" s="34">
        <f t="shared" si="38"/>
        <v>5.2074573000000001E-3</v>
      </c>
      <c r="K212" s="34">
        <f t="shared" si="39"/>
        <v>5.2339620999999996E-3</v>
      </c>
      <c r="N212" s="38">
        <f t="shared" si="40"/>
        <v>5.2382108000000004E-3</v>
      </c>
      <c r="Q212" s="38">
        <f t="shared" si="41"/>
        <v>5.2648156999999998E-3</v>
      </c>
    </row>
    <row r="213" spans="1:17" x14ac:dyDescent="0.15">
      <c r="A213" s="41">
        <v>209</v>
      </c>
      <c r="B213" s="144">
        <f t="shared" si="42"/>
        <v>5.3313769000000004E-3</v>
      </c>
      <c r="E213" s="29">
        <f t="shared" si="43"/>
        <v>5.3583642000000001E-3</v>
      </c>
      <c r="H213" s="34">
        <f t="shared" ref="H213:H276" si="44">ROUND(J$2*(1+J$2)^$A213/((1+J$2)^$A213-1),10)</f>
        <v>5.1844951000000004E-3</v>
      </c>
      <c r="K213" s="34">
        <f t="shared" ref="K213:K276" si="45">ROUND(M$2*(1+M$2)^$A213/((1+M$2)^$A213-1),10)</f>
        <v>5.2110059000000002E-3</v>
      </c>
      <c r="N213" s="38">
        <f t="shared" ref="N213:N276" si="46">ROUND(P$2*(1+P$2)^$A213/((1+P$2)^$A213-1),10)</f>
        <v>5.2152557E-3</v>
      </c>
      <c r="Q213" s="38">
        <f t="shared" ref="Q213:Q276" si="47">ROUND(S$2*(1+S$2)^$A213/((1+S$2)^$A213-1),10)</f>
        <v>5.2418669999999999E-3</v>
      </c>
    </row>
    <row r="214" spans="1:17" x14ac:dyDescent="0.15">
      <c r="A214" s="41">
        <v>210</v>
      </c>
      <c r="B214" s="144">
        <f t="shared" si="42"/>
        <v>5.3086723999999997E-3</v>
      </c>
      <c r="E214" s="29">
        <f t="shared" si="43"/>
        <v>5.3356679000000004E-3</v>
      </c>
      <c r="H214" s="34">
        <f t="shared" si="44"/>
        <v>5.1617520000000004E-3</v>
      </c>
      <c r="K214" s="34">
        <f t="shared" si="45"/>
        <v>5.1882689000000001E-3</v>
      </c>
      <c r="N214" s="38">
        <f t="shared" si="46"/>
        <v>5.1925195999999998E-3</v>
      </c>
      <c r="Q214" s="38">
        <f t="shared" si="47"/>
        <v>5.2191375999999998E-3</v>
      </c>
    </row>
    <row r="215" spans="1:17" x14ac:dyDescent="0.15">
      <c r="A215" s="41">
        <v>211</v>
      </c>
      <c r="B215" s="144">
        <f t="shared" si="42"/>
        <v>5.2861838000000001E-3</v>
      </c>
      <c r="E215" s="29">
        <f t="shared" si="43"/>
        <v>5.3131877000000003E-3</v>
      </c>
      <c r="H215" s="34">
        <f t="shared" si="44"/>
        <v>5.1392249000000003E-3</v>
      </c>
      <c r="K215" s="34">
        <f t="shared" si="45"/>
        <v>5.1657478999999999E-3</v>
      </c>
      <c r="N215" s="38">
        <f t="shared" si="46"/>
        <v>5.1699996999999996E-3</v>
      </c>
      <c r="Q215" s="38">
        <f t="shared" si="47"/>
        <v>5.1966241999999996E-3</v>
      </c>
    </row>
    <row r="216" spans="1:17" x14ac:dyDescent="0.15">
      <c r="A216" s="41">
        <v>212</v>
      </c>
      <c r="B216" s="144">
        <f t="shared" si="42"/>
        <v>5.2639083999999996E-3</v>
      </c>
      <c r="E216" s="29">
        <f t="shared" si="43"/>
        <v>5.2909206000000004E-3</v>
      </c>
      <c r="H216" s="34">
        <f t="shared" si="44"/>
        <v>5.1169109000000004E-3</v>
      </c>
      <c r="K216" s="34">
        <f t="shared" si="45"/>
        <v>5.1434399000000004E-3</v>
      </c>
      <c r="N216" s="38">
        <f t="shared" si="46"/>
        <v>5.1476927000000004E-3</v>
      </c>
      <c r="Q216" s="38">
        <f t="shared" si="47"/>
        <v>5.1743238E-3</v>
      </c>
    </row>
    <row r="217" spans="1:17" x14ac:dyDescent="0.15">
      <c r="A217" s="41">
        <v>213</v>
      </c>
      <c r="B217" s="144">
        <f t="shared" si="42"/>
        <v>5.2418428999999999E-3</v>
      </c>
      <c r="E217" s="29">
        <f t="shared" si="43"/>
        <v>5.2688635000000001E-3</v>
      </c>
      <c r="H217" s="34">
        <f t="shared" si="44"/>
        <v>5.0948067999999997E-3</v>
      </c>
      <c r="K217" s="34">
        <f t="shared" si="45"/>
        <v>5.1213418999999996E-3</v>
      </c>
      <c r="N217" s="38">
        <f t="shared" si="46"/>
        <v>5.1255958000000004E-3</v>
      </c>
      <c r="Q217" s="38">
        <f t="shared" si="47"/>
        <v>5.1522334000000001E-3</v>
      </c>
    </row>
    <row r="218" spans="1:17" x14ac:dyDescent="0.15">
      <c r="A218" s="41">
        <v>214</v>
      </c>
      <c r="B218" s="144">
        <f t="shared" si="42"/>
        <v>5.2199845000000002E-3</v>
      </c>
      <c r="E218" s="29">
        <f t="shared" si="43"/>
        <v>5.2470134000000002E-3</v>
      </c>
      <c r="H218" s="34">
        <f t="shared" si="44"/>
        <v>5.0729097999999999E-3</v>
      </c>
      <c r="K218" s="34">
        <f t="shared" si="45"/>
        <v>5.0994509999999996E-3</v>
      </c>
      <c r="N218" s="38">
        <f t="shared" si="46"/>
        <v>5.1037058999999999E-3</v>
      </c>
      <c r="Q218" s="38">
        <f t="shared" si="47"/>
        <v>5.1303499999999997E-3</v>
      </c>
    </row>
    <row r="219" spans="1:17" x14ac:dyDescent="0.15">
      <c r="A219" s="41">
        <v>215</v>
      </c>
      <c r="B219" s="144">
        <f t="shared" si="42"/>
        <v>5.1983302999999998E-3</v>
      </c>
      <c r="E219" s="29">
        <f t="shared" si="43"/>
        <v>5.2253676000000001E-3</v>
      </c>
      <c r="H219" s="34">
        <f t="shared" si="44"/>
        <v>5.0512168999999997E-3</v>
      </c>
      <c r="K219" s="34">
        <f t="shared" si="45"/>
        <v>5.0777642999999999E-3</v>
      </c>
      <c r="N219" s="38">
        <f t="shared" si="46"/>
        <v>5.0820201000000001E-3</v>
      </c>
      <c r="Q219" s="38">
        <f t="shared" si="47"/>
        <v>5.1086708999999999E-3</v>
      </c>
    </row>
    <row r="220" spans="1:17" x14ac:dyDescent="0.15">
      <c r="A220" s="41">
        <v>216</v>
      </c>
      <c r="B220" s="144">
        <f t="shared" si="42"/>
        <v>5.1768774E-3</v>
      </c>
      <c r="E220" s="29">
        <f t="shared" si="43"/>
        <v>5.2039230999999997E-3</v>
      </c>
      <c r="H220" s="34">
        <f t="shared" si="44"/>
        <v>5.0297253999999998E-3</v>
      </c>
      <c r="K220" s="34">
        <f t="shared" si="45"/>
        <v>5.0562788000000003E-3</v>
      </c>
      <c r="N220" s="38">
        <f t="shared" si="46"/>
        <v>5.0605357000000004E-3</v>
      </c>
      <c r="Q220" s="38">
        <f t="shared" si="47"/>
        <v>5.0871930000000003E-3</v>
      </c>
    </row>
    <row r="221" spans="1:17" x14ac:dyDescent="0.15">
      <c r="A221" s="41">
        <v>217</v>
      </c>
      <c r="B221" s="144">
        <f t="shared" si="42"/>
        <v>5.1556231000000003E-3</v>
      </c>
      <c r="E221" s="29">
        <f t="shared" si="43"/>
        <v>5.1826770999999997E-3</v>
      </c>
      <c r="H221" s="34">
        <f t="shared" si="44"/>
        <v>5.0084324000000003E-3</v>
      </c>
      <c r="K221" s="34">
        <f t="shared" si="45"/>
        <v>5.0349918999999998E-3</v>
      </c>
      <c r="N221" s="38">
        <f t="shared" si="46"/>
        <v>5.0392498000000003E-3</v>
      </c>
      <c r="Q221" s="38">
        <f t="shared" si="47"/>
        <v>5.0659136999999998E-3</v>
      </c>
    </row>
    <row r="222" spans="1:17" x14ac:dyDescent="0.15">
      <c r="A222" s="41">
        <v>218</v>
      </c>
      <c r="B222" s="144">
        <f t="shared" si="42"/>
        <v>5.1345645999999997E-3</v>
      </c>
      <c r="E222" s="29">
        <f t="shared" si="43"/>
        <v>5.1616270000000002E-3</v>
      </c>
      <c r="H222" s="34">
        <f t="shared" si="44"/>
        <v>4.9873351999999999E-3</v>
      </c>
      <c r="K222" s="34">
        <f t="shared" si="45"/>
        <v>5.0139008000000002E-3</v>
      </c>
      <c r="N222" s="38">
        <f t="shared" si="46"/>
        <v>5.0181597000000001E-3</v>
      </c>
      <c r="Q222" s="38">
        <f t="shared" si="47"/>
        <v>5.0448302999999998E-3</v>
      </c>
    </row>
    <row r="223" spans="1:17" x14ac:dyDescent="0.15">
      <c r="A223" s="41">
        <v>219</v>
      </c>
      <c r="B223" s="144">
        <f t="shared" si="42"/>
        <v>5.1136992999999999E-3</v>
      </c>
      <c r="E223" s="29">
        <f t="shared" si="43"/>
        <v>5.1407700999999998E-3</v>
      </c>
      <c r="H223" s="34">
        <f t="shared" si="44"/>
        <v>4.9664310999999999E-3</v>
      </c>
      <c r="K223" s="34">
        <f t="shared" si="45"/>
        <v>4.9930028999999997E-3</v>
      </c>
      <c r="N223" s="38">
        <f t="shared" si="46"/>
        <v>4.9972628E-3</v>
      </c>
      <c r="Q223" s="38">
        <f t="shared" si="47"/>
        <v>5.0239398999999997E-3</v>
      </c>
    </row>
    <row r="224" spans="1:17" x14ac:dyDescent="0.15">
      <c r="A224" s="41">
        <v>220</v>
      </c>
      <c r="B224" s="144">
        <f t="shared" si="42"/>
        <v>5.0930245000000004E-3</v>
      </c>
      <c r="E224" s="29">
        <f t="shared" si="43"/>
        <v>5.1201036000000002E-3</v>
      </c>
      <c r="H224" s="34">
        <f t="shared" si="44"/>
        <v>4.9457175999999999E-3</v>
      </c>
      <c r="K224" s="34">
        <f t="shared" si="45"/>
        <v>4.9722954E-3</v>
      </c>
      <c r="N224" s="38">
        <f t="shared" si="46"/>
        <v>4.9765564000000002E-3</v>
      </c>
      <c r="Q224" s="38">
        <f t="shared" si="47"/>
        <v>5.0032401000000004E-3</v>
      </c>
    </row>
    <row r="225" spans="1:17" x14ac:dyDescent="0.15">
      <c r="A225" s="41">
        <v>221</v>
      </c>
      <c r="B225" s="144">
        <f t="shared" si="42"/>
        <v>5.0725376000000004E-3</v>
      </c>
      <c r="E225" s="29">
        <f t="shared" si="43"/>
        <v>5.0996250999999996E-3</v>
      </c>
      <c r="H225" s="34">
        <f t="shared" si="44"/>
        <v>4.9251918999999996E-3</v>
      </c>
      <c r="K225" s="34">
        <f t="shared" si="45"/>
        <v>4.9517759000000001E-3</v>
      </c>
      <c r="N225" s="38">
        <f t="shared" si="46"/>
        <v>4.9560378000000002E-3</v>
      </c>
      <c r="Q225" s="38">
        <f t="shared" si="47"/>
        <v>4.9827281999999997E-3</v>
      </c>
    </row>
    <row r="226" spans="1:17" x14ac:dyDescent="0.15">
      <c r="A226" s="41">
        <v>222</v>
      </c>
      <c r="B226" s="144">
        <f t="shared" si="42"/>
        <v>5.0522361000000003E-3</v>
      </c>
      <c r="E226" s="29">
        <f t="shared" si="43"/>
        <v>5.0793319999999998E-3</v>
      </c>
      <c r="H226" s="34">
        <f t="shared" si="44"/>
        <v>4.9048516000000002E-3</v>
      </c>
      <c r="K226" s="34">
        <f t="shared" si="45"/>
        <v>4.9314416999999998E-3</v>
      </c>
      <c r="N226" s="38">
        <f t="shared" si="46"/>
        <v>4.9357046999999998E-3</v>
      </c>
      <c r="Q226" s="38">
        <f t="shared" si="47"/>
        <v>4.9624016000000002E-3</v>
      </c>
    </row>
    <row r="227" spans="1:17" x14ac:dyDescent="0.15">
      <c r="A227" s="41">
        <v>223</v>
      </c>
      <c r="B227" s="144">
        <f t="shared" si="42"/>
        <v>5.0321174999999998E-3</v>
      </c>
      <c r="E227" s="29">
        <f t="shared" si="43"/>
        <v>5.0592218000000003E-3</v>
      </c>
      <c r="H227" s="34">
        <f t="shared" si="44"/>
        <v>4.8846940999999998E-3</v>
      </c>
      <c r="K227" s="34">
        <f t="shared" si="45"/>
        <v>4.9112903999999997E-3</v>
      </c>
      <c r="N227" s="38">
        <f t="shared" si="46"/>
        <v>4.9155544000000001E-3</v>
      </c>
      <c r="Q227" s="38">
        <f t="shared" si="47"/>
        <v>4.9422579000000001E-3</v>
      </c>
    </row>
    <row r="228" spans="1:17" x14ac:dyDescent="0.15">
      <c r="A228" s="41">
        <v>224</v>
      </c>
      <c r="B228" s="144">
        <f t="shared" si="42"/>
        <v>5.0121793E-3</v>
      </c>
      <c r="E228" s="29">
        <f t="shared" si="43"/>
        <v>5.0392921000000004E-3</v>
      </c>
      <c r="H228" s="34">
        <f t="shared" si="44"/>
        <v>4.8647170999999998E-3</v>
      </c>
      <c r="K228" s="34">
        <f t="shared" si="45"/>
        <v>4.8913194999999996E-3</v>
      </c>
      <c r="N228" s="38">
        <f t="shared" si="46"/>
        <v>4.8955845000000003E-3</v>
      </c>
      <c r="Q228" s="38">
        <f t="shared" si="47"/>
        <v>4.9222946999999996E-3</v>
      </c>
    </row>
    <row r="229" spans="1:17" x14ac:dyDescent="0.15">
      <c r="A229" s="41">
        <v>225</v>
      </c>
      <c r="B229" s="144">
        <f t="shared" si="42"/>
        <v>4.9924191999999997E-3</v>
      </c>
      <c r="E229" s="29">
        <f t="shared" si="43"/>
        <v>5.0195404000000004E-3</v>
      </c>
      <c r="H229" s="34">
        <f t="shared" si="44"/>
        <v>4.8449180999999997E-3</v>
      </c>
      <c r="K229" s="34">
        <f t="shared" si="45"/>
        <v>4.8715267E-3</v>
      </c>
      <c r="N229" s="38">
        <f t="shared" si="46"/>
        <v>4.8757927000000001E-3</v>
      </c>
      <c r="Q229" s="38">
        <f t="shared" si="47"/>
        <v>4.9025094999999999E-3</v>
      </c>
    </row>
    <row r="230" spans="1:17" x14ac:dyDescent="0.15">
      <c r="A230" s="41">
        <v>226</v>
      </c>
      <c r="B230" s="144">
        <f t="shared" si="42"/>
        <v>4.9728348E-3</v>
      </c>
      <c r="E230" s="29">
        <f t="shared" si="43"/>
        <v>4.9999644000000001E-3</v>
      </c>
      <c r="H230" s="34">
        <f t="shared" si="44"/>
        <v>4.8252948000000002E-3</v>
      </c>
      <c r="K230" s="34">
        <f t="shared" si="45"/>
        <v>4.8519095000000003E-3</v>
      </c>
      <c r="N230" s="38">
        <f t="shared" si="46"/>
        <v>4.8561765E-3</v>
      </c>
      <c r="Q230" s="38">
        <f t="shared" si="47"/>
        <v>4.8828999999999999E-3</v>
      </c>
    </row>
    <row r="231" spans="1:17" x14ac:dyDescent="0.15">
      <c r="A231" s="41">
        <v>227</v>
      </c>
      <c r="B231" s="144">
        <f t="shared" si="42"/>
        <v>4.9534237E-3</v>
      </c>
      <c r="E231" s="29">
        <f t="shared" si="43"/>
        <v>4.9805617000000003E-3</v>
      </c>
      <c r="H231" s="34">
        <f t="shared" si="44"/>
        <v>4.8058446999999999E-3</v>
      </c>
      <c r="K231" s="34">
        <f t="shared" si="45"/>
        <v>4.8324656000000004E-3</v>
      </c>
      <c r="N231" s="38">
        <f t="shared" si="46"/>
        <v>4.8367337E-3</v>
      </c>
      <c r="Q231" s="38">
        <f t="shared" si="47"/>
        <v>4.8634637E-3</v>
      </c>
    </row>
    <row r="232" spans="1:17" x14ac:dyDescent="0.15">
      <c r="A232" s="41">
        <v>228</v>
      </c>
      <c r="B232" s="144">
        <f t="shared" si="42"/>
        <v>4.9341836999999998E-3</v>
      </c>
      <c r="E232" s="29">
        <f t="shared" si="43"/>
        <v>4.9613301000000004E-3</v>
      </c>
      <c r="H232" s="34">
        <f t="shared" si="44"/>
        <v>4.7865657999999998E-3</v>
      </c>
      <c r="K232" s="34">
        <f t="shared" si="45"/>
        <v>4.8131928000000003E-3</v>
      </c>
      <c r="N232" s="38">
        <f t="shared" si="46"/>
        <v>4.8174619000000002E-3</v>
      </c>
      <c r="Q232" s="38">
        <f t="shared" si="47"/>
        <v>4.8441986000000003E-3</v>
      </c>
    </row>
    <row r="233" spans="1:17" x14ac:dyDescent="0.15">
      <c r="A233" s="41">
        <v>229</v>
      </c>
      <c r="B233" s="144">
        <f t="shared" si="42"/>
        <v>4.9151124999999999E-3</v>
      </c>
      <c r="E233" s="29">
        <f t="shared" si="43"/>
        <v>4.9422672999999999E-3</v>
      </c>
      <c r="H233" s="34">
        <f t="shared" si="44"/>
        <v>4.7674555999999996E-3</v>
      </c>
      <c r="K233" s="34">
        <f t="shared" si="45"/>
        <v>4.7940887999999996E-3</v>
      </c>
      <c r="N233" s="38">
        <f t="shared" si="46"/>
        <v>4.7983588999999998E-3</v>
      </c>
      <c r="Q233" s="38">
        <f t="shared" si="47"/>
        <v>4.8251023000000001E-3</v>
      </c>
    </row>
    <row r="234" spans="1:17" x14ac:dyDescent="0.15">
      <c r="A234" s="41">
        <v>230</v>
      </c>
      <c r="B234" s="144">
        <f t="shared" si="42"/>
        <v>4.896208E-3</v>
      </c>
      <c r="E234" s="29">
        <f t="shared" si="43"/>
        <v>4.9233712000000002E-3</v>
      </c>
      <c r="H234" s="34">
        <f t="shared" si="44"/>
        <v>4.7485121000000003E-3</v>
      </c>
      <c r="K234" s="34">
        <f t="shared" si="45"/>
        <v>4.7751514000000002E-3</v>
      </c>
      <c r="N234" s="38">
        <f t="shared" si="46"/>
        <v>4.7794226000000004E-3</v>
      </c>
      <c r="Q234" s="38">
        <f t="shared" si="47"/>
        <v>4.8061726000000003E-3</v>
      </c>
    </row>
    <row r="235" spans="1:17" x14ac:dyDescent="0.15">
      <c r="A235" s="41">
        <v>231</v>
      </c>
      <c r="B235" s="144">
        <f t="shared" si="42"/>
        <v>4.8774678999999998E-3</v>
      </c>
      <c r="E235" s="29">
        <f t="shared" si="43"/>
        <v>4.9046395999999999E-3</v>
      </c>
      <c r="H235" s="34">
        <f t="shared" si="44"/>
        <v>4.7297329999999999E-3</v>
      </c>
      <c r="K235" s="34">
        <f t="shared" si="45"/>
        <v>4.7563785000000001E-3</v>
      </c>
      <c r="N235" s="38">
        <f t="shared" si="46"/>
        <v>4.7606506999999998E-3</v>
      </c>
      <c r="Q235" s="38">
        <f t="shared" si="47"/>
        <v>4.7874073000000001E-3</v>
      </c>
    </row>
    <row r="236" spans="1:17" x14ac:dyDescent="0.15">
      <c r="A236" s="41">
        <v>232</v>
      </c>
      <c r="B236" s="144">
        <f t="shared" si="42"/>
        <v>4.8588902000000003E-3</v>
      </c>
      <c r="E236" s="29">
        <f t="shared" si="43"/>
        <v>4.8860702000000002E-3</v>
      </c>
      <c r="H236" s="34">
        <f t="shared" si="44"/>
        <v>4.7111161999999996E-3</v>
      </c>
      <c r="K236" s="34">
        <f t="shared" si="45"/>
        <v>4.7377679000000002E-3</v>
      </c>
      <c r="N236" s="38">
        <f t="shared" si="46"/>
        <v>4.7420411000000003E-3</v>
      </c>
      <c r="Q236" s="38">
        <f t="shared" si="47"/>
        <v>4.7688043999999999E-3</v>
      </c>
    </row>
    <row r="237" spans="1:17" x14ac:dyDescent="0.15">
      <c r="A237" s="41">
        <v>233</v>
      </c>
      <c r="B237" s="144">
        <f t="shared" si="42"/>
        <v>4.8404727E-3</v>
      </c>
      <c r="E237" s="29">
        <f t="shared" si="43"/>
        <v>4.8676611999999998E-3</v>
      </c>
      <c r="H237" s="34">
        <f t="shared" si="44"/>
        <v>4.6926596999999999E-3</v>
      </c>
      <c r="K237" s="34">
        <f t="shared" si="45"/>
        <v>4.7193175000000004E-3</v>
      </c>
      <c r="N237" s="38">
        <f t="shared" si="46"/>
        <v>4.7235918000000003E-3</v>
      </c>
      <c r="Q237" s="38">
        <f t="shared" si="47"/>
        <v>4.7503616999999996E-3</v>
      </c>
    </row>
    <row r="238" spans="1:17" x14ac:dyDescent="0.15">
      <c r="A238" s="41">
        <v>234</v>
      </c>
      <c r="B238" s="144">
        <f t="shared" si="42"/>
        <v>4.8222133999999998E-3</v>
      </c>
      <c r="E238" s="29">
        <f t="shared" si="43"/>
        <v>4.8494102999999998E-3</v>
      </c>
      <c r="H238" s="34">
        <f t="shared" si="44"/>
        <v>4.6743612999999998E-3</v>
      </c>
      <c r="K238" s="34">
        <f t="shared" si="45"/>
        <v>4.7010252999999998E-3</v>
      </c>
      <c r="N238" s="38">
        <f t="shared" si="46"/>
        <v>4.7053006000000001E-3</v>
      </c>
      <c r="Q238" s="38">
        <f t="shared" si="47"/>
        <v>4.7320772000000004E-3</v>
      </c>
    </row>
    <row r="239" spans="1:17" x14ac:dyDescent="0.15">
      <c r="A239" s="41">
        <v>235</v>
      </c>
      <c r="B239" s="144">
        <f t="shared" si="42"/>
        <v>4.8041103E-3</v>
      </c>
      <c r="E239" s="29">
        <f t="shared" si="43"/>
        <v>4.8313156999999999E-3</v>
      </c>
      <c r="H239" s="34">
        <f t="shared" si="44"/>
        <v>4.6562191000000001E-3</v>
      </c>
      <c r="K239" s="34">
        <f t="shared" si="45"/>
        <v>4.6828892999999996E-3</v>
      </c>
      <c r="N239" s="38">
        <f t="shared" si="46"/>
        <v>4.6871656000000003E-3</v>
      </c>
      <c r="Q239" s="38">
        <f t="shared" si="47"/>
        <v>4.7139488000000002E-3</v>
      </c>
    </row>
    <row r="240" spans="1:17" x14ac:dyDescent="0.15">
      <c r="A240" s="41">
        <v>236</v>
      </c>
      <c r="B240" s="144">
        <f t="shared" si="42"/>
        <v>4.7861613000000003E-3</v>
      </c>
      <c r="E240" s="29">
        <f t="shared" si="43"/>
        <v>4.8133752E-3</v>
      </c>
      <c r="H240" s="34">
        <f t="shared" si="44"/>
        <v>4.6382309999999996E-3</v>
      </c>
      <c r="K240" s="34">
        <f t="shared" si="45"/>
        <v>4.6649074000000004E-3</v>
      </c>
      <c r="N240" s="38">
        <f t="shared" si="46"/>
        <v>4.6691848000000001E-3</v>
      </c>
      <c r="Q240" s="38">
        <f t="shared" si="47"/>
        <v>4.6959747000000001E-3</v>
      </c>
    </row>
    <row r="241" spans="1:17" x14ac:dyDescent="0.15">
      <c r="A241" s="41">
        <v>237</v>
      </c>
      <c r="B241" s="144">
        <f t="shared" si="42"/>
        <v>4.7683646E-3</v>
      </c>
      <c r="E241" s="29">
        <f t="shared" si="43"/>
        <v>4.7955869E-3</v>
      </c>
      <c r="H241" s="34">
        <f t="shared" si="44"/>
        <v>4.6203952000000003E-3</v>
      </c>
      <c r="K241" s="34">
        <f t="shared" si="45"/>
        <v>4.6470777999999997E-3</v>
      </c>
      <c r="N241" s="38">
        <f t="shared" si="46"/>
        <v>4.6513561000000002E-3</v>
      </c>
      <c r="Q241" s="38">
        <f t="shared" si="47"/>
        <v>4.6781527000000003E-3</v>
      </c>
    </row>
    <row r="242" spans="1:17" x14ac:dyDescent="0.15">
      <c r="A242" s="41">
        <v>238</v>
      </c>
      <c r="B242" s="144">
        <f t="shared" si="42"/>
        <v>4.7507182999999998E-3</v>
      </c>
      <c r="E242" s="29">
        <f t="shared" si="43"/>
        <v>4.7779490000000001E-3</v>
      </c>
      <c r="H242" s="34">
        <f t="shared" si="44"/>
        <v>4.6027096999999998E-3</v>
      </c>
      <c r="K242" s="34">
        <f t="shared" si="45"/>
        <v>4.6293984999999996E-3</v>
      </c>
      <c r="N242" s="38">
        <f t="shared" si="46"/>
        <v>4.6336778000000004E-3</v>
      </c>
      <c r="Q242" s="38">
        <f t="shared" si="47"/>
        <v>4.6604810999999998E-3</v>
      </c>
    </row>
    <row r="243" spans="1:17" x14ac:dyDescent="0.15">
      <c r="A243" s="41">
        <v>239</v>
      </c>
      <c r="B243" s="144">
        <f t="shared" si="42"/>
        <v>4.7332203000000003E-3</v>
      </c>
      <c r="E243" s="29">
        <f t="shared" si="43"/>
        <v>4.7604594999999996E-3</v>
      </c>
      <c r="H243" s="34">
        <f t="shared" si="44"/>
        <v>4.5851724999999999E-3</v>
      </c>
      <c r="K243" s="34">
        <f t="shared" si="45"/>
        <v>4.6118675999999997E-3</v>
      </c>
      <c r="N243" s="38">
        <f t="shared" si="46"/>
        <v>4.6161479E-3</v>
      </c>
      <c r="Q243" s="38">
        <f t="shared" si="47"/>
        <v>4.6429579000000004E-3</v>
      </c>
    </row>
    <row r="244" spans="1:17" x14ac:dyDescent="0.15">
      <c r="A244" s="41">
        <v>240</v>
      </c>
      <c r="B244" s="144">
        <f t="shared" si="42"/>
        <v>4.7158690000000001E-3</v>
      </c>
      <c r="E244" s="29">
        <f t="shared" si="43"/>
        <v>4.7431165999999997E-3</v>
      </c>
      <c r="H244" s="34">
        <f t="shared" si="44"/>
        <v>4.5677820000000003E-3</v>
      </c>
      <c r="K244" s="34">
        <f t="shared" si="45"/>
        <v>4.5944832E-3</v>
      </c>
      <c r="N244" s="38">
        <f t="shared" si="46"/>
        <v>4.5987646000000002E-3</v>
      </c>
      <c r="Q244" s="38">
        <f t="shared" si="47"/>
        <v>4.6255812000000002E-3</v>
      </c>
    </row>
    <row r="245" spans="1:17" x14ac:dyDescent="0.15">
      <c r="A245" s="41">
        <v>241</v>
      </c>
      <c r="B245" s="144">
        <f t="shared" si="42"/>
        <v>4.6986622999999998E-3</v>
      </c>
      <c r="E245" s="29">
        <f t="shared" si="43"/>
        <v>4.7259184000000001E-3</v>
      </c>
      <c r="H245" s="34">
        <f t="shared" si="44"/>
        <v>4.5505362000000001E-3</v>
      </c>
      <c r="K245" s="34">
        <f t="shared" si="45"/>
        <v>4.5772436000000001E-3</v>
      </c>
      <c r="N245" s="38">
        <f t="shared" si="46"/>
        <v>4.5815259999999998E-3</v>
      </c>
      <c r="Q245" s="38">
        <f t="shared" si="47"/>
        <v>4.6083493E-3</v>
      </c>
    </row>
    <row r="246" spans="1:17" x14ac:dyDescent="0.15">
      <c r="A246" s="41">
        <v>242</v>
      </c>
      <c r="B246" s="144">
        <f t="shared" si="42"/>
        <v>4.6815987000000002E-3</v>
      </c>
      <c r="E246" s="29">
        <f t="shared" si="43"/>
        <v>4.7088631999999998E-3</v>
      </c>
      <c r="H246" s="34">
        <f t="shared" si="44"/>
        <v>4.5334332999999996E-3</v>
      </c>
      <c r="K246" s="34">
        <f t="shared" si="45"/>
        <v>4.5601469E-3</v>
      </c>
      <c r="N246" s="38">
        <f t="shared" si="46"/>
        <v>4.5644303999999997E-3</v>
      </c>
      <c r="Q246" s="38">
        <f t="shared" si="47"/>
        <v>4.5912603999999999E-3</v>
      </c>
    </row>
    <row r="247" spans="1:17" x14ac:dyDescent="0.15">
      <c r="A247" s="41">
        <v>243</v>
      </c>
      <c r="B247" s="144">
        <f t="shared" si="42"/>
        <v>4.6646761999999996E-3</v>
      </c>
      <c r="E247" s="29">
        <f t="shared" si="43"/>
        <v>4.6919492999999996E-3</v>
      </c>
      <c r="H247" s="34">
        <f t="shared" si="44"/>
        <v>4.5164716000000004E-3</v>
      </c>
      <c r="K247" s="34">
        <f t="shared" si="45"/>
        <v>4.5431914000000004E-3</v>
      </c>
      <c r="N247" s="38">
        <f t="shared" si="46"/>
        <v>4.5474759000000003E-3</v>
      </c>
      <c r="Q247" s="38">
        <f t="shared" si="47"/>
        <v>4.5743125999999999E-3</v>
      </c>
    </row>
    <row r="248" spans="1:17" x14ac:dyDescent="0.15">
      <c r="A248" s="41">
        <v>244</v>
      </c>
      <c r="B248" s="144">
        <f t="shared" si="42"/>
        <v>4.6478932000000002E-3</v>
      </c>
      <c r="E248" s="29">
        <f t="shared" si="43"/>
        <v>4.6751746999999996E-3</v>
      </c>
      <c r="H248" s="34">
        <f t="shared" si="44"/>
        <v>4.4996493000000002E-3</v>
      </c>
      <c r="K248" s="34">
        <f t="shared" si="45"/>
        <v>4.5263752999999997E-3</v>
      </c>
      <c r="N248" s="38">
        <f t="shared" si="46"/>
        <v>4.5306608999999996E-3</v>
      </c>
      <c r="Q248" s="38">
        <f t="shared" si="47"/>
        <v>4.5575043000000001E-3</v>
      </c>
    </row>
    <row r="249" spans="1:17" x14ac:dyDescent="0.15">
      <c r="A249" s="41">
        <v>245</v>
      </c>
      <c r="B249" s="144">
        <f t="shared" si="42"/>
        <v>4.6312480000000001E-3</v>
      </c>
      <c r="E249" s="29">
        <f t="shared" si="43"/>
        <v>4.6585378999999998E-3</v>
      </c>
      <c r="H249" s="34">
        <f t="shared" si="44"/>
        <v>4.4829646999999997E-3</v>
      </c>
      <c r="K249" s="34">
        <f t="shared" si="45"/>
        <v>4.509697E-3</v>
      </c>
      <c r="N249" s="38">
        <f t="shared" si="46"/>
        <v>4.5139836000000003E-3</v>
      </c>
      <c r="Q249" s="38">
        <f t="shared" si="47"/>
        <v>4.5408337E-3</v>
      </c>
    </row>
    <row r="250" spans="1:17" x14ac:dyDescent="0.15">
      <c r="A250" s="41">
        <v>246</v>
      </c>
      <c r="B250" s="144">
        <f t="shared" si="42"/>
        <v>4.6147387999999996E-3</v>
      </c>
      <c r="E250" s="29">
        <f t="shared" si="43"/>
        <v>4.6420372E-3</v>
      </c>
      <c r="H250" s="34">
        <f t="shared" si="44"/>
        <v>4.4664162999999996E-3</v>
      </c>
      <c r="K250" s="34">
        <f t="shared" si="45"/>
        <v>4.4931548000000003E-3</v>
      </c>
      <c r="N250" s="38">
        <f t="shared" si="46"/>
        <v>4.4974424000000001E-3</v>
      </c>
      <c r="Q250" s="38">
        <f t="shared" si="47"/>
        <v>4.5242991000000003E-3</v>
      </c>
    </row>
    <row r="251" spans="1:17" x14ac:dyDescent="0.15">
      <c r="A251" s="41">
        <v>247</v>
      </c>
      <c r="B251" s="144">
        <f t="shared" si="42"/>
        <v>4.5983639999999998E-3</v>
      </c>
      <c r="E251" s="29">
        <f t="shared" si="43"/>
        <v>4.6256709E-3</v>
      </c>
      <c r="H251" s="34">
        <f t="shared" si="44"/>
        <v>4.4500021999999998E-3</v>
      </c>
      <c r="K251" s="34">
        <f t="shared" si="45"/>
        <v>4.4767469000000001E-3</v>
      </c>
      <c r="N251" s="38">
        <f t="shared" si="46"/>
        <v>4.4810355000000001E-3</v>
      </c>
      <c r="Q251" s="38">
        <f t="shared" si="47"/>
        <v>4.5078990000000001E-3</v>
      </c>
    </row>
    <row r="252" spans="1:17" x14ac:dyDescent="0.15">
      <c r="A252" s="41">
        <v>248</v>
      </c>
      <c r="B252" s="144">
        <f t="shared" si="42"/>
        <v>4.5821220000000001E-3</v>
      </c>
      <c r="E252" s="29">
        <f t="shared" si="43"/>
        <v>4.6094374000000002E-3</v>
      </c>
      <c r="H252" s="34">
        <f t="shared" si="44"/>
        <v>4.4337207999999998E-3</v>
      </c>
      <c r="K252" s="34">
        <f t="shared" si="45"/>
        <v>4.4604718E-3</v>
      </c>
      <c r="N252" s="38">
        <f t="shared" si="46"/>
        <v>4.4647615E-3</v>
      </c>
      <c r="Q252" s="38">
        <f t="shared" si="47"/>
        <v>4.4916317000000001E-3</v>
      </c>
    </row>
    <row r="253" spans="1:17" x14ac:dyDescent="0.15">
      <c r="A253" s="41">
        <v>249</v>
      </c>
      <c r="B253" s="144">
        <f t="shared" si="42"/>
        <v>4.5660112000000001E-3</v>
      </c>
      <c r="E253" s="29">
        <f t="shared" si="43"/>
        <v>4.5933351000000001E-3</v>
      </c>
      <c r="H253" s="34">
        <f t="shared" si="44"/>
        <v>4.4175706999999998E-3</v>
      </c>
      <c r="K253" s="34">
        <f t="shared" si="45"/>
        <v>4.4443279000000004E-3</v>
      </c>
      <c r="N253" s="38">
        <f t="shared" si="46"/>
        <v>4.4486185999999999E-3</v>
      </c>
      <c r="Q253" s="38">
        <f t="shared" si="47"/>
        <v>4.4754955000000001E-3</v>
      </c>
    </row>
    <row r="254" spans="1:17" x14ac:dyDescent="0.15">
      <c r="A254" s="41">
        <v>250</v>
      </c>
      <c r="B254" s="144">
        <f t="shared" si="42"/>
        <v>4.55003E-3</v>
      </c>
      <c r="E254" s="29">
        <f t="shared" si="43"/>
        <v>4.5773623999999999E-3</v>
      </c>
      <c r="H254" s="34">
        <f t="shared" si="44"/>
        <v>4.4015501999999998E-3</v>
      </c>
      <c r="K254" s="34">
        <f t="shared" si="45"/>
        <v>4.4283135999999999E-3</v>
      </c>
      <c r="N254" s="38">
        <f t="shared" si="46"/>
        <v>4.4326052999999997E-3</v>
      </c>
      <c r="Q254" s="38">
        <f t="shared" si="47"/>
        <v>4.4594889E-3</v>
      </c>
    </row>
    <row r="255" spans="1:17" x14ac:dyDescent="0.15">
      <c r="A255" s="41">
        <v>251</v>
      </c>
      <c r="B255" s="144">
        <f t="shared" si="42"/>
        <v>4.5341768999999999E-3</v>
      </c>
      <c r="E255" s="29">
        <f t="shared" si="43"/>
        <v>4.5615177999999996E-3</v>
      </c>
      <c r="H255" s="34">
        <f t="shared" si="44"/>
        <v>4.3856577000000001E-3</v>
      </c>
      <c r="K255" s="34">
        <f t="shared" si="45"/>
        <v>4.4124272999999997E-3</v>
      </c>
      <c r="N255" s="38">
        <f t="shared" si="46"/>
        <v>4.4167201000000003E-3</v>
      </c>
      <c r="Q255" s="38">
        <f t="shared" si="47"/>
        <v>4.4436103999999999E-3</v>
      </c>
    </row>
    <row r="256" spans="1:17" x14ac:dyDescent="0.15">
      <c r="A256" s="41">
        <v>252</v>
      </c>
      <c r="B256" s="144">
        <f t="shared" si="42"/>
        <v>4.5184504000000004E-3</v>
      </c>
      <c r="E256" s="29">
        <f t="shared" si="43"/>
        <v>4.5457997000000003E-3</v>
      </c>
      <c r="H256" s="34">
        <f t="shared" si="44"/>
        <v>4.3698916999999997E-3</v>
      </c>
      <c r="K256" s="34">
        <f t="shared" si="45"/>
        <v>4.3966676000000001E-3</v>
      </c>
      <c r="N256" s="38">
        <f t="shared" si="46"/>
        <v>4.4009614000000002E-3</v>
      </c>
      <c r="Q256" s="38">
        <f t="shared" si="47"/>
        <v>4.4278585000000004E-3</v>
      </c>
    </row>
    <row r="257" spans="1:17" x14ac:dyDescent="0.15">
      <c r="A257" s="41">
        <v>253</v>
      </c>
      <c r="B257" s="144">
        <f t="shared" si="42"/>
        <v>4.5028487999999997E-3</v>
      </c>
      <c r="E257" s="29">
        <f t="shared" si="43"/>
        <v>4.5302067E-3</v>
      </c>
      <c r="H257" s="34">
        <f t="shared" si="44"/>
        <v>4.3542507999999999E-3</v>
      </c>
      <c r="K257" s="34">
        <f t="shared" si="45"/>
        <v>4.3810328999999999E-3</v>
      </c>
      <c r="N257" s="38">
        <f t="shared" si="46"/>
        <v>4.3853277999999999E-3</v>
      </c>
      <c r="Q257" s="38">
        <f t="shared" si="47"/>
        <v>4.4122314999999997E-3</v>
      </c>
    </row>
    <row r="258" spans="1:17" x14ac:dyDescent="0.15">
      <c r="A258" s="41">
        <v>254</v>
      </c>
      <c r="B258" s="144">
        <f t="shared" si="42"/>
        <v>4.4873708999999999E-3</v>
      </c>
      <c r="E258" s="29">
        <f t="shared" si="43"/>
        <v>4.5147371999999996E-3</v>
      </c>
      <c r="H258" s="34">
        <f t="shared" si="44"/>
        <v>4.3387334000000001E-3</v>
      </c>
      <c r="K258" s="34">
        <f t="shared" si="45"/>
        <v>4.3655218000000001E-3</v>
      </c>
      <c r="N258" s="38">
        <f t="shared" si="46"/>
        <v>4.3698176999999996E-3</v>
      </c>
      <c r="Q258" s="38">
        <f t="shared" si="47"/>
        <v>4.3967281000000004E-3</v>
      </c>
    </row>
    <row r="259" spans="1:17" x14ac:dyDescent="0.15">
      <c r="A259" s="41">
        <v>255</v>
      </c>
      <c r="B259" s="144">
        <f t="shared" si="42"/>
        <v>4.4720150000000002E-3</v>
      </c>
      <c r="E259" s="29">
        <f t="shared" si="43"/>
        <v>4.4993899000000002E-3</v>
      </c>
      <c r="H259" s="34">
        <f t="shared" si="44"/>
        <v>4.3233381E-3</v>
      </c>
      <c r="K259" s="34">
        <f t="shared" si="45"/>
        <v>4.3501327000000003E-3</v>
      </c>
      <c r="N259" s="38">
        <f t="shared" si="46"/>
        <v>4.3544296999999997E-3</v>
      </c>
      <c r="Q259" s="38">
        <f t="shared" si="47"/>
        <v>4.3813469000000002E-3</v>
      </c>
    </row>
    <row r="260" spans="1:17" x14ac:dyDescent="0.15">
      <c r="A260" s="41">
        <v>256</v>
      </c>
      <c r="B260" s="144">
        <f t="shared" si="42"/>
        <v>4.4567799E-3</v>
      </c>
      <c r="E260" s="29">
        <f t="shared" si="43"/>
        <v>4.4841632000000003E-3</v>
      </c>
      <c r="H260" s="34">
        <f t="shared" si="44"/>
        <v>4.3080634999999997E-3</v>
      </c>
      <c r="K260" s="34">
        <f t="shared" si="45"/>
        <v>4.3348644E-3</v>
      </c>
      <c r="N260" s="38">
        <f t="shared" si="46"/>
        <v>4.3391623000000002E-3</v>
      </c>
      <c r="Q260" s="38">
        <f t="shared" si="47"/>
        <v>4.3660862999999996E-3</v>
      </c>
    </row>
    <row r="261" spans="1:17" x14ac:dyDescent="0.15">
      <c r="A261" s="41">
        <v>257</v>
      </c>
      <c r="B261" s="144">
        <f t="shared" si="42"/>
        <v>4.4416639999999997E-3</v>
      </c>
      <c r="E261" s="29">
        <f t="shared" si="43"/>
        <v>4.4690557999999998E-3</v>
      </c>
      <c r="H261" s="34">
        <f t="shared" si="44"/>
        <v>4.2929081000000003E-3</v>
      </c>
      <c r="K261" s="34">
        <f t="shared" si="45"/>
        <v>4.3197152000000001E-3</v>
      </c>
      <c r="N261" s="38">
        <f t="shared" si="46"/>
        <v>4.3240142999999998E-3</v>
      </c>
      <c r="Q261" s="38">
        <f t="shared" si="47"/>
        <v>4.3509448999999997E-3</v>
      </c>
    </row>
    <row r="262" spans="1:17" x14ac:dyDescent="0.15">
      <c r="A262" s="41">
        <v>258</v>
      </c>
      <c r="B262" s="144">
        <f t="shared" ref="B262:B325" si="48">ROUND(D$2*(1+D$2)^$A262/((1+D$2)^$A262-1),10)</f>
        <v>4.4266658999999996E-3</v>
      </c>
      <c r="E262" s="29">
        <f t="shared" ref="E262:E325" si="49">ROUND(G$2*(1+G$2)^$A262/((1+G$2)^$A262-1),10)</f>
        <v>4.4540663000000001E-3</v>
      </c>
      <c r="H262" s="34">
        <f t="shared" si="44"/>
        <v>4.2778705999999998E-3</v>
      </c>
      <c r="K262" s="34">
        <f t="shared" si="45"/>
        <v>4.3046839999999996E-3</v>
      </c>
      <c r="N262" s="38">
        <f t="shared" si="46"/>
        <v>4.3089840999999997E-3</v>
      </c>
      <c r="Q262" s="38">
        <f t="shared" si="47"/>
        <v>4.3359213999999997E-3</v>
      </c>
    </row>
    <row r="263" spans="1:17" x14ac:dyDescent="0.15">
      <c r="A263" s="41">
        <v>259</v>
      </c>
      <c r="B263" s="144">
        <f t="shared" si="48"/>
        <v>4.4117844000000003E-3</v>
      </c>
      <c r="E263" s="29">
        <f t="shared" si="49"/>
        <v>4.4391932999999998E-3</v>
      </c>
      <c r="H263" s="34">
        <f t="shared" si="44"/>
        <v>4.2629495999999996E-3</v>
      </c>
      <c r="K263" s="34">
        <f t="shared" si="45"/>
        <v>4.2897693000000002E-3</v>
      </c>
      <c r="N263" s="38">
        <f t="shared" si="46"/>
        <v>4.2940703999999998E-3</v>
      </c>
      <c r="Q263" s="38">
        <f t="shared" si="47"/>
        <v>4.3210145000000004E-3</v>
      </c>
    </row>
    <row r="264" spans="1:17" x14ac:dyDescent="0.15">
      <c r="A264" s="41">
        <v>260</v>
      </c>
      <c r="B264" s="144">
        <f t="shared" si="48"/>
        <v>4.3970181000000004E-3</v>
      </c>
      <c r="E264" s="29">
        <f t="shared" si="49"/>
        <v>4.4244354999999997E-3</v>
      </c>
      <c r="H264" s="34">
        <f t="shared" si="44"/>
        <v>4.2481437999999996E-3</v>
      </c>
      <c r="K264" s="34">
        <f t="shared" si="45"/>
        <v>4.2749696999999998E-3</v>
      </c>
      <c r="N264" s="38">
        <f t="shared" si="46"/>
        <v>4.2792717999999997E-3</v>
      </c>
      <c r="Q264" s="38">
        <f t="shared" si="47"/>
        <v>4.3062227E-3</v>
      </c>
    </row>
    <row r="265" spans="1:17" x14ac:dyDescent="0.15">
      <c r="A265" s="41">
        <v>261</v>
      </c>
      <c r="B265" s="144">
        <f t="shared" si="48"/>
        <v>4.3823656000000002E-3</v>
      </c>
      <c r="E265" s="29">
        <f t="shared" si="49"/>
        <v>4.4097915000000003E-3</v>
      </c>
      <c r="H265" s="34">
        <f t="shared" si="44"/>
        <v>4.2334518000000003E-3</v>
      </c>
      <c r="K265" s="34">
        <f t="shared" si="45"/>
        <v>4.2602839E-3</v>
      </c>
      <c r="N265" s="38">
        <f t="shared" si="46"/>
        <v>4.2645870999999998E-3</v>
      </c>
      <c r="Q265" s="38">
        <f t="shared" si="47"/>
        <v>4.2915447000000002E-3</v>
      </c>
    </row>
    <row r="266" spans="1:17" x14ac:dyDescent="0.15">
      <c r="A266" s="41">
        <v>262</v>
      </c>
      <c r="B266" s="144">
        <f t="shared" si="48"/>
        <v>4.3678257000000003E-3</v>
      </c>
      <c r="E266" s="29">
        <f t="shared" si="49"/>
        <v>4.3952601000000003E-3</v>
      </c>
      <c r="H266" s="34">
        <f t="shared" si="44"/>
        <v>4.2188722999999999E-3</v>
      </c>
      <c r="K266" s="34">
        <f t="shared" si="45"/>
        <v>4.2457106999999996E-3</v>
      </c>
      <c r="N266" s="38">
        <f t="shared" si="46"/>
        <v>4.2500150000000002E-3</v>
      </c>
      <c r="Q266" s="38">
        <f t="shared" si="47"/>
        <v>4.2769792999999999E-3</v>
      </c>
    </row>
    <row r="267" spans="1:17" x14ac:dyDescent="0.15">
      <c r="A267" s="41">
        <v>263</v>
      </c>
      <c r="B267" s="144">
        <f t="shared" si="48"/>
        <v>4.3533970999999998E-3</v>
      </c>
      <c r="E267" s="29">
        <f t="shared" si="49"/>
        <v>4.3808400000000004E-3</v>
      </c>
      <c r="H267" s="34">
        <f t="shared" si="44"/>
        <v>4.2044040999999997E-3</v>
      </c>
      <c r="K267" s="34">
        <f t="shared" si="45"/>
        <v>4.2312488000000002E-3</v>
      </c>
      <c r="N267" s="38">
        <f t="shared" si="46"/>
        <v>4.2355541000000003E-3</v>
      </c>
      <c r="Q267" s="38">
        <f t="shared" si="47"/>
        <v>4.2625251999999997E-3</v>
      </c>
    </row>
    <row r="268" spans="1:17" x14ac:dyDescent="0.15">
      <c r="A268" s="41">
        <v>264</v>
      </c>
      <c r="B268" s="144">
        <f t="shared" si="48"/>
        <v>4.3390783999999998E-3</v>
      </c>
      <c r="E268" s="29">
        <f t="shared" si="49"/>
        <v>4.3665298000000003E-3</v>
      </c>
      <c r="H268" s="34">
        <f t="shared" si="44"/>
        <v>4.1900458000000002E-3</v>
      </c>
      <c r="K268" s="34">
        <f t="shared" si="45"/>
        <v>4.2168967999999998E-3</v>
      </c>
      <c r="N268" s="38">
        <f t="shared" si="46"/>
        <v>4.2212031000000002E-3</v>
      </c>
      <c r="Q268" s="38">
        <f t="shared" si="47"/>
        <v>4.2481810000000002E-3</v>
      </c>
    </row>
    <row r="269" spans="1:17" x14ac:dyDescent="0.15">
      <c r="A269" s="41">
        <v>265</v>
      </c>
      <c r="B269" s="144">
        <f t="shared" si="48"/>
        <v>4.3248684999999997E-3</v>
      </c>
      <c r="E269" s="29">
        <f t="shared" si="49"/>
        <v>4.3523284000000001E-3</v>
      </c>
      <c r="H269" s="34">
        <f t="shared" si="44"/>
        <v>4.1757963000000004E-3</v>
      </c>
      <c r="K269" s="34">
        <f t="shared" si="45"/>
        <v>4.2026536E-3</v>
      </c>
      <c r="N269" s="38">
        <f t="shared" si="46"/>
        <v>4.2069610000000004E-3</v>
      </c>
      <c r="Q269" s="38">
        <f t="shared" si="47"/>
        <v>4.2339455999999996E-3</v>
      </c>
    </row>
    <row r="270" spans="1:17" x14ac:dyDescent="0.15">
      <c r="A270" s="41">
        <v>266</v>
      </c>
      <c r="B270" s="144">
        <f t="shared" si="48"/>
        <v>4.3107661000000002E-3</v>
      </c>
      <c r="E270" s="29">
        <f t="shared" si="49"/>
        <v>4.3382346E-3</v>
      </c>
      <c r="H270" s="34">
        <f t="shared" si="44"/>
        <v>4.1616544E-3</v>
      </c>
      <c r="K270" s="34">
        <f t="shared" si="45"/>
        <v>4.1885179E-3</v>
      </c>
      <c r="N270" s="38">
        <f t="shared" si="46"/>
        <v>4.1928262999999999E-3</v>
      </c>
      <c r="Q270" s="38">
        <f t="shared" si="47"/>
        <v>4.2198176999999996E-3</v>
      </c>
    </row>
    <row r="271" spans="1:17" x14ac:dyDescent="0.15">
      <c r="A271" s="41">
        <v>267</v>
      </c>
      <c r="B271" s="144">
        <f t="shared" si="48"/>
        <v>4.2967700000000001E-3</v>
      </c>
      <c r="E271" s="29">
        <f t="shared" si="49"/>
        <v>4.3242469999999998E-3</v>
      </c>
      <c r="H271" s="34">
        <f t="shared" si="44"/>
        <v>4.1476187000000003E-3</v>
      </c>
      <c r="K271" s="34">
        <f t="shared" si="45"/>
        <v>4.1744885000000002E-3</v>
      </c>
      <c r="N271" s="38">
        <f t="shared" si="46"/>
        <v>4.1787980000000001E-3</v>
      </c>
      <c r="Q271" s="38">
        <f t="shared" si="47"/>
        <v>4.2057961E-3</v>
      </c>
    </row>
    <row r="272" spans="1:17" x14ac:dyDescent="0.15">
      <c r="A272" s="41">
        <v>268</v>
      </c>
      <c r="B272" s="144">
        <f t="shared" si="48"/>
        <v>4.2828791000000003E-3</v>
      </c>
      <c r="E272" s="29">
        <f t="shared" si="49"/>
        <v>4.3103645999999999E-3</v>
      </c>
      <c r="H272" s="34">
        <f t="shared" si="44"/>
        <v>4.1336881000000004E-3</v>
      </c>
      <c r="K272" s="34">
        <f t="shared" si="45"/>
        <v>4.1605642999999999E-3</v>
      </c>
      <c r="N272" s="38">
        <f t="shared" si="46"/>
        <v>4.1648746999999996E-3</v>
      </c>
      <c r="Q272" s="38">
        <f t="shared" si="47"/>
        <v>4.1918796000000001E-3</v>
      </c>
    </row>
    <row r="273" spans="1:17" x14ac:dyDescent="0.15">
      <c r="A273" s="41">
        <v>269</v>
      </c>
      <c r="B273" s="144">
        <f t="shared" si="48"/>
        <v>4.2690921E-3</v>
      </c>
      <c r="E273" s="29">
        <f t="shared" si="49"/>
        <v>4.2965861999999999E-3</v>
      </c>
      <c r="H273" s="34">
        <f t="shared" si="44"/>
        <v>4.1198614999999996E-3</v>
      </c>
      <c r="K273" s="34">
        <f t="shared" si="45"/>
        <v>4.1467439000000004E-3</v>
      </c>
      <c r="N273" s="38">
        <f t="shared" si="46"/>
        <v>4.1510554E-3</v>
      </c>
      <c r="Q273" s="38">
        <f t="shared" si="47"/>
        <v>4.1780671000000002E-3</v>
      </c>
    </row>
    <row r="274" spans="1:17" x14ac:dyDescent="0.15">
      <c r="A274" s="41">
        <v>270</v>
      </c>
      <c r="B274" s="144">
        <f t="shared" si="48"/>
        <v>4.2554079E-3</v>
      </c>
      <c r="E274" s="29">
        <f t="shared" si="49"/>
        <v>4.2829104999999998E-3</v>
      </c>
      <c r="H274" s="34">
        <f t="shared" si="44"/>
        <v>4.1061377E-3</v>
      </c>
      <c r="K274" s="34">
        <f t="shared" si="45"/>
        <v>4.1330263999999999E-3</v>
      </c>
      <c r="N274" s="38">
        <f t="shared" si="46"/>
        <v>4.1373390000000003E-3</v>
      </c>
      <c r="Q274" s="38">
        <f t="shared" si="47"/>
        <v>4.1643573000000001E-3</v>
      </c>
    </row>
    <row r="275" spans="1:17" x14ac:dyDescent="0.15">
      <c r="A275" s="41">
        <v>271</v>
      </c>
      <c r="B275" s="144">
        <f t="shared" si="48"/>
        <v>4.2418254000000004E-3</v>
      </c>
      <c r="E275" s="29">
        <f t="shared" si="49"/>
        <v>4.2693365E-3</v>
      </c>
      <c r="H275" s="34">
        <f t="shared" si="44"/>
        <v>4.0925155000000003E-3</v>
      </c>
      <c r="K275" s="34">
        <f t="shared" si="45"/>
        <v>4.1194105000000002E-3</v>
      </c>
      <c r="N275" s="38">
        <f t="shared" si="46"/>
        <v>4.1237241000000001E-3</v>
      </c>
      <c r="Q275" s="38">
        <f t="shared" si="47"/>
        <v>4.1507493000000001E-3</v>
      </c>
    </row>
    <row r="276" spans="1:17" x14ac:dyDescent="0.15">
      <c r="A276" s="41">
        <v>272</v>
      </c>
      <c r="B276" s="144">
        <f t="shared" si="48"/>
        <v>4.2283434E-3</v>
      </c>
      <c r="E276" s="29">
        <f t="shared" si="49"/>
        <v>4.2558631E-3</v>
      </c>
      <c r="H276" s="34">
        <f t="shared" si="44"/>
        <v>4.0789939000000002E-3</v>
      </c>
      <c r="K276" s="34">
        <f t="shared" si="45"/>
        <v>4.1058950999999996E-3</v>
      </c>
      <c r="N276" s="38">
        <f t="shared" si="46"/>
        <v>4.1102098000000004E-3</v>
      </c>
      <c r="Q276" s="38">
        <f t="shared" si="47"/>
        <v>4.1372416999999996E-3</v>
      </c>
    </row>
    <row r="277" spans="1:17" x14ac:dyDescent="0.15">
      <c r="A277" s="41">
        <v>273</v>
      </c>
      <c r="B277" s="144">
        <f t="shared" si="48"/>
        <v>4.2149609000000001E-3</v>
      </c>
      <c r="E277" s="29">
        <f t="shared" si="49"/>
        <v>4.2424890999999999E-3</v>
      </c>
      <c r="H277" s="34">
        <f t="shared" ref="H277:H340" si="50">ROUND(J$2*(1+J$2)^$A277/((1+J$2)^$A277-1),10)</f>
        <v>4.0655715999999998E-3</v>
      </c>
      <c r="K277" s="34">
        <f t="shared" ref="K277:K340" si="51">ROUND(M$2*(1+M$2)^$A277/((1+M$2)^$A277-1),10)</f>
        <v>4.0924791999999996E-3</v>
      </c>
      <c r="N277" s="38">
        <f t="shared" ref="N277:N340" si="52">ROUND(P$2*(1+P$2)^$A277/((1+P$2)^$A277-1),10)</f>
        <v>4.0967948999999998E-3</v>
      </c>
      <c r="Q277" s="38">
        <f t="shared" ref="Q277:Q340" si="53">ROUND(S$2*(1+S$2)^$A277/((1+S$2)^$A277-1),10)</f>
        <v>4.1238335999999997E-3</v>
      </c>
    </row>
    <row r="278" spans="1:17" x14ac:dyDescent="0.15">
      <c r="A278" s="41">
        <v>274</v>
      </c>
      <c r="B278" s="144">
        <f t="shared" si="48"/>
        <v>4.2016767000000003E-3</v>
      </c>
      <c r="E278" s="29">
        <f t="shared" si="49"/>
        <v>4.2292134E-3</v>
      </c>
      <c r="H278" s="34">
        <f t="shared" si="50"/>
        <v>4.0522478000000004E-3</v>
      </c>
      <c r="K278" s="34">
        <f t="shared" si="51"/>
        <v>4.0791615999999998E-3</v>
      </c>
      <c r="N278" s="38">
        <f t="shared" si="52"/>
        <v>4.0834783999999999E-3</v>
      </c>
      <c r="Q278" s="38">
        <f t="shared" si="53"/>
        <v>4.1105237999999999E-3</v>
      </c>
    </row>
    <row r="279" spans="1:17" x14ac:dyDescent="0.15">
      <c r="A279" s="41">
        <v>275</v>
      </c>
      <c r="B279" s="144">
        <f t="shared" si="48"/>
        <v>4.1884898000000004E-3</v>
      </c>
      <c r="E279" s="29">
        <f t="shared" si="49"/>
        <v>4.2160351000000004E-3</v>
      </c>
      <c r="H279" s="34">
        <f t="shared" si="50"/>
        <v>4.0390210999999999E-3</v>
      </c>
      <c r="K279" s="34">
        <f t="shared" si="51"/>
        <v>4.0659412999999997E-3</v>
      </c>
      <c r="N279" s="38">
        <f t="shared" si="52"/>
        <v>4.0702591000000002E-3</v>
      </c>
      <c r="Q279" s="38">
        <f t="shared" si="53"/>
        <v>4.0973112999999999E-3</v>
      </c>
    </row>
    <row r="280" spans="1:17" x14ac:dyDescent="0.15">
      <c r="A280" s="41">
        <v>276</v>
      </c>
      <c r="B280" s="144">
        <f t="shared" si="48"/>
        <v>4.1753991000000002E-3</v>
      </c>
      <c r="E280" s="29">
        <f t="shared" si="49"/>
        <v>4.2029529000000001E-3</v>
      </c>
      <c r="H280" s="34">
        <f t="shared" si="50"/>
        <v>4.0258906999999997E-3</v>
      </c>
      <c r="K280" s="34">
        <f t="shared" si="51"/>
        <v>4.0528172000000003E-3</v>
      </c>
      <c r="N280" s="38">
        <f t="shared" si="52"/>
        <v>4.0571360000000002E-3</v>
      </c>
      <c r="Q280" s="38">
        <f t="shared" si="53"/>
        <v>4.0841949999999997E-3</v>
      </c>
    </row>
    <row r="281" spans="1:17" x14ac:dyDescent="0.15">
      <c r="A281" s="41">
        <v>277</v>
      </c>
      <c r="B281" s="144">
        <f t="shared" si="48"/>
        <v>4.1624035E-3</v>
      </c>
      <c r="E281" s="29">
        <f t="shared" si="49"/>
        <v>4.1899659000000002E-3</v>
      </c>
      <c r="H281" s="34">
        <f t="shared" si="50"/>
        <v>4.0128554999999998E-3</v>
      </c>
      <c r="K281" s="34">
        <f t="shared" si="51"/>
        <v>4.0397882E-3</v>
      </c>
      <c r="N281" s="38">
        <f t="shared" si="52"/>
        <v>4.0441080999999999E-3</v>
      </c>
      <c r="Q281" s="38">
        <f t="shared" si="53"/>
        <v>4.0711738999999999E-3</v>
      </c>
    </row>
    <row r="282" spans="1:17" x14ac:dyDescent="0.15">
      <c r="A282" s="41">
        <v>278</v>
      </c>
      <c r="B282" s="144">
        <f t="shared" si="48"/>
        <v>4.1495022000000003E-3</v>
      </c>
      <c r="E282" s="29">
        <f t="shared" si="49"/>
        <v>4.1770731000000004E-3</v>
      </c>
      <c r="H282" s="34">
        <f t="shared" si="50"/>
        <v>3.9999144000000004E-3</v>
      </c>
      <c r="K282" s="34">
        <f t="shared" si="51"/>
        <v>4.0268533999999996E-3</v>
      </c>
      <c r="N282" s="38">
        <f t="shared" si="52"/>
        <v>4.0311744000000004E-3</v>
      </c>
      <c r="Q282" s="38">
        <f t="shared" si="53"/>
        <v>4.0582468999999996E-3</v>
      </c>
    </row>
    <row r="283" spans="1:17" x14ac:dyDescent="0.15">
      <c r="A283" s="41">
        <v>279</v>
      </c>
      <c r="B283" s="144">
        <f t="shared" si="48"/>
        <v>4.1366939000000002E-3</v>
      </c>
      <c r="E283" s="29">
        <f t="shared" si="49"/>
        <v>4.1642733999999997E-3</v>
      </c>
      <c r="H283" s="34">
        <f t="shared" si="50"/>
        <v>3.9870664000000002E-3</v>
      </c>
      <c r="K283" s="34">
        <f t="shared" si="51"/>
        <v>4.0140117999999999E-3</v>
      </c>
      <c r="N283" s="38">
        <f t="shared" si="52"/>
        <v>4.0183336999999996E-3</v>
      </c>
      <c r="Q283" s="38">
        <f t="shared" si="53"/>
        <v>4.0454130999999999E-3</v>
      </c>
    </row>
    <row r="284" spans="1:17" x14ac:dyDescent="0.15">
      <c r="A284" s="41">
        <v>280</v>
      </c>
      <c r="B284" s="144">
        <f t="shared" si="48"/>
        <v>4.1239778000000003E-3</v>
      </c>
      <c r="E284" s="29">
        <f t="shared" si="49"/>
        <v>4.1515657999999997E-3</v>
      </c>
      <c r="H284" s="34">
        <f t="shared" si="50"/>
        <v>3.9743104999999997E-3</v>
      </c>
      <c r="K284" s="34">
        <f t="shared" si="51"/>
        <v>4.0012622000000003E-3</v>
      </c>
      <c r="N284" s="38">
        <f t="shared" si="52"/>
        <v>4.0055851999999999E-3</v>
      </c>
      <c r="Q284" s="38">
        <f t="shared" si="53"/>
        <v>4.0326714E-3</v>
      </c>
    </row>
    <row r="285" spans="1:17" x14ac:dyDescent="0.15">
      <c r="A285" s="41">
        <v>281</v>
      </c>
      <c r="B285" s="144">
        <f t="shared" si="48"/>
        <v>4.1113529000000003E-3</v>
      </c>
      <c r="E285" s="29">
        <f t="shared" si="49"/>
        <v>4.1389494000000004E-3</v>
      </c>
      <c r="H285" s="34">
        <f t="shared" si="50"/>
        <v>3.9616458E-3</v>
      </c>
      <c r="K285" s="34">
        <f t="shared" si="51"/>
        <v>3.9886037999999997E-3</v>
      </c>
      <c r="N285" s="38">
        <f t="shared" si="52"/>
        <v>3.9929279000000002E-3</v>
      </c>
      <c r="Q285" s="38">
        <f t="shared" si="53"/>
        <v>4.0200208000000003E-3</v>
      </c>
    </row>
    <row r="286" spans="1:17" x14ac:dyDescent="0.15">
      <c r="A286" s="41">
        <v>282</v>
      </c>
      <c r="B286" s="144">
        <f t="shared" si="48"/>
        <v>4.0988181000000002E-3</v>
      </c>
      <c r="E286" s="29">
        <f t="shared" si="49"/>
        <v>4.1264231999999998E-3</v>
      </c>
      <c r="H286" s="34">
        <f t="shared" si="50"/>
        <v>3.9490712000000002E-3</v>
      </c>
      <c r="K286" s="34">
        <f t="shared" si="51"/>
        <v>3.9760356000000004E-3</v>
      </c>
      <c r="N286" s="38">
        <f t="shared" si="52"/>
        <v>3.9803607000000003E-3</v>
      </c>
      <c r="Q286" s="38">
        <f t="shared" si="53"/>
        <v>4.0074604000000002E-3</v>
      </c>
    </row>
    <row r="287" spans="1:17" x14ac:dyDescent="0.15">
      <c r="A287" s="41">
        <v>283</v>
      </c>
      <c r="B287" s="144">
        <f t="shared" si="48"/>
        <v>4.0863725999999998E-3</v>
      </c>
      <c r="E287" s="29">
        <f t="shared" si="49"/>
        <v>4.1139862999999997E-3</v>
      </c>
      <c r="H287" s="34">
        <f t="shared" si="50"/>
        <v>3.9365859000000001E-3</v>
      </c>
      <c r="K287" s="34">
        <f t="shared" si="51"/>
        <v>3.9635564999999998E-3</v>
      </c>
      <c r="N287" s="38">
        <f t="shared" si="52"/>
        <v>3.9678826999999996E-3</v>
      </c>
      <c r="Q287" s="38">
        <f t="shared" si="53"/>
        <v>3.9949892000000001E-3</v>
      </c>
    </row>
    <row r="288" spans="1:17" x14ac:dyDescent="0.15">
      <c r="A288" s="41">
        <v>284</v>
      </c>
      <c r="B288" s="144">
        <f t="shared" si="48"/>
        <v>4.0740152999999999E-3</v>
      </c>
      <c r="E288" s="29">
        <f t="shared" si="49"/>
        <v>4.1016376000000002E-3</v>
      </c>
      <c r="H288" s="34">
        <f t="shared" si="50"/>
        <v>3.9241889000000002E-3</v>
      </c>
      <c r="K288" s="34">
        <f t="shared" si="51"/>
        <v>3.9511657999999998E-3</v>
      </c>
      <c r="N288" s="38">
        <f t="shared" si="52"/>
        <v>3.955493E-3</v>
      </c>
      <c r="Q288" s="38">
        <f t="shared" si="53"/>
        <v>3.9826063000000002E-3</v>
      </c>
    </row>
    <row r="289" spans="1:17" x14ac:dyDescent="0.15">
      <c r="A289" s="41">
        <v>285</v>
      </c>
      <c r="B289" s="144">
        <f t="shared" si="48"/>
        <v>4.0617454000000004E-3</v>
      </c>
      <c r="E289" s="29">
        <f t="shared" si="49"/>
        <v>4.0893761999999997E-3</v>
      </c>
      <c r="H289" s="34">
        <f t="shared" si="50"/>
        <v>3.9118792000000001E-3</v>
      </c>
      <c r="K289" s="34">
        <f t="shared" si="51"/>
        <v>3.9388623999999997E-3</v>
      </c>
      <c r="N289" s="38">
        <f t="shared" si="52"/>
        <v>3.9431906999999999E-3</v>
      </c>
      <c r="Q289" s="38">
        <f t="shared" si="53"/>
        <v>3.9703107999999997E-3</v>
      </c>
    </row>
    <row r="290" spans="1:17" x14ac:dyDescent="0.15">
      <c r="A290" s="41">
        <v>286</v>
      </c>
      <c r="B290" s="144">
        <f t="shared" si="48"/>
        <v>4.0495619999999996E-3</v>
      </c>
      <c r="E290" s="29">
        <f t="shared" si="49"/>
        <v>4.0772012999999996E-3</v>
      </c>
      <c r="H290" s="34">
        <f t="shared" si="50"/>
        <v>3.8996559E-3</v>
      </c>
      <c r="K290" s="34">
        <f t="shared" si="51"/>
        <v>3.9266455E-3</v>
      </c>
      <c r="N290" s="38">
        <f t="shared" si="52"/>
        <v>3.9309747999999997E-3</v>
      </c>
      <c r="Q290" s="38">
        <f t="shared" si="53"/>
        <v>3.9581017000000001E-3</v>
      </c>
    </row>
    <row r="291" spans="1:17" x14ac:dyDescent="0.15">
      <c r="A291" s="41">
        <v>287</v>
      </c>
      <c r="B291" s="144">
        <f t="shared" si="48"/>
        <v>4.0374640000000002E-3</v>
      </c>
      <c r="E291" s="29">
        <f t="shared" si="49"/>
        <v>4.0651120000000001E-3</v>
      </c>
      <c r="H291" s="34">
        <f t="shared" si="50"/>
        <v>3.8875181E-3</v>
      </c>
      <c r="K291" s="34">
        <f t="shared" si="51"/>
        <v>3.914514E-3</v>
      </c>
      <c r="N291" s="38">
        <f t="shared" si="52"/>
        <v>3.9188443999999996E-3</v>
      </c>
      <c r="Q291" s="38">
        <f t="shared" si="53"/>
        <v>3.9459780999999998E-3</v>
      </c>
    </row>
    <row r="292" spans="1:17" x14ac:dyDescent="0.15">
      <c r="A292" s="41">
        <v>288</v>
      </c>
      <c r="B292" s="144">
        <f t="shared" si="48"/>
        <v>4.0254508000000001E-3</v>
      </c>
      <c r="E292" s="29">
        <f t="shared" si="49"/>
        <v>4.0531072999999999E-3</v>
      </c>
      <c r="H292" s="34">
        <f t="shared" si="50"/>
        <v>3.8754649999999998E-3</v>
      </c>
      <c r="K292" s="34">
        <f t="shared" si="51"/>
        <v>3.9024672999999998E-3</v>
      </c>
      <c r="N292" s="38">
        <f t="shared" si="52"/>
        <v>3.9067987000000002E-3</v>
      </c>
      <c r="Q292" s="38">
        <f t="shared" si="53"/>
        <v>3.9339392000000001E-3</v>
      </c>
    </row>
    <row r="293" spans="1:17" x14ac:dyDescent="0.15">
      <c r="A293" s="41">
        <v>289</v>
      </c>
      <c r="B293" s="144">
        <f t="shared" si="48"/>
        <v>4.0135212999999996E-3</v>
      </c>
      <c r="E293" s="29">
        <f t="shared" si="49"/>
        <v>4.0411863000000001E-3</v>
      </c>
      <c r="H293" s="34">
        <f t="shared" si="50"/>
        <v>3.8634957E-3</v>
      </c>
      <c r="K293" s="34">
        <f t="shared" si="51"/>
        <v>3.8905042E-3</v>
      </c>
      <c r="N293" s="38">
        <f t="shared" si="52"/>
        <v>3.8948366999999998E-3</v>
      </c>
      <c r="Q293" s="38">
        <f t="shared" si="53"/>
        <v>3.9219839999999999E-3</v>
      </c>
    </row>
    <row r="294" spans="1:17" x14ac:dyDescent="0.15">
      <c r="A294" s="41">
        <v>290</v>
      </c>
      <c r="B294" s="144">
        <f t="shared" si="48"/>
        <v>4.0016746000000004E-3</v>
      </c>
      <c r="E294" s="29">
        <f t="shared" si="49"/>
        <v>4.0293483E-3</v>
      </c>
      <c r="H294" s="34">
        <f t="shared" si="50"/>
        <v>3.8516091999999998E-3</v>
      </c>
      <c r="K294" s="34">
        <f t="shared" si="51"/>
        <v>3.8786240999999998E-3</v>
      </c>
      <c r="N294" s="38">
        <f t="shared" si="52"/>
        <v>3.8829576E-3</v>
      </c>
      <c r="Q294" s="38">
        <f t="shared" si="53"/>
        <v>3.9101116999999998E-3</v>
      </c>
    </row>
    <row r="295" spans="1:17" x14ac:dyDescent="0.15">
      <c r="A295" s="41">
        <v>291</v>
      </c>
      <c r="B295" s="144">
        <f t="shared" si="48"/>
        <v>3.9899100999999998E-3</v>
      </c>
      <c r="E295" s="29">
        <f t="shared" si="49"/>
        <v>4.0175923000000001E-3</v>
      </c>
      <c r="H295" s="34">
        <f t="shared" si="50"/>
        <v>3.8398047999999999E-3</v>
      </c>
      <c r="K295" s="34">
        <f t="shared" si="51"/>
        <v>3.8668259999999999E-3</v>
      </c>
      <c r="N295" s="38">
        <f t="shared" si="52"/>
        <v>3.8711606E-3</v>
      </c>
      <c r="Q295" s="38">
        <f t="shared" si="53"/>
        <v>3.8983213999999999E-3</v>
      </c>
    </row>
    <row r="296" spans="1:17" x14ac:dyDescent="0.15">
      <c r="A296" s="41">
        <v>292</v>
      </c>
      <c r="B296" s="144">
        <f t="shared" si="48"/>
        <v>3.9782267000000003E-3</v>
      </c>
      <c r="E296" s="29">
        <f t="shared" si="49"/>
        <v>4.0059175000000001E-3</v>
      </c>
      <c r="H296" s="34">
        <f t="shared" si="50"/>
        <v>3.8280814999999998E-3</v>
      </c>
      <c r="K296" s="34">
        <f t="shared" si="51"/>
        <v>3.8551090999999998E-3</v>
      </c>
      <c r="N296" s="38">
        <f t="shared" si="52"/>
        <v>3.8594446999999999E-3</v>
      </c>
      <c r="Q296" s="38">
        <f t="shared" si="53"/>
        <v>3.8866123999999999E-3</v>
      </c>
    </row>
    <row r="297" spans="1:17" x14ac:dyDescent="0.15">
      <c r="A297" s="41">
        <v>293</v>
      </c>
      <c r="B297" s="144">
        <f t="shared" si="48"/>
        <v>3.9666236999999997E-3</v>
      </c>
      <c r="E297" s="29">
        <f t="shared" si="49"/>
        <v>3.9943230999999997E-3</v>
      </c>
      <c r="H297" s="34">
        <f t="shared" si="50"/>
        <v>3.8164385999999999E-3</v>
      </c>
      <c r="K297" s="34">
        <f t="shared" si="51"/>
        <v>3.8434724999999999E-3</v>
      </c>
      <c r="N297" s="38">
        <f t="shared" si="52"/>
        <v>3.8478091999999998E-3</v>
      </c>
      <c r="Q297" s="38">
        <f t="shared" si="53"/>
        <v>3.8749837000000001E-3</v>
      </c>
    </row>
    <row r="298" spans="1:17" x14ac:dyDescent="0.15">
      <c r="A298" s="41">
        <v>294</v>
      </c>
      <c r="B298" s="144">
        <f t="shared" si="48"/>
        <v>3.9551003000000001E-3</v>
      </c>
      <c r="E298" s="29">
        <f t="shared" si="49"/>
        <v>3.9828082000000001E-3</v>
      </c>
      <c r="H298" s="34">
        <f t="shared" si="50"/>
        <v>3.8048753000000002E-3</v>
      </c>
      <c r="K298" s="34">
        <f t="shared" si="51"/>
        <v>3.8319155000000001E-3</v>
      </c>
      <c r="N298" s="38">
        <f t="shared" si="52"/>
        <v>3.8362533000000001E-3</v>
      </c>
      <c r="Q298" s="38">
        <f t="shared" si="53"/>
        <v>3.8634346E-3</v>
      </c>
    </row>
    <row r="299" spans="1:17" x14ac:dyDescent="0.15">
      <c r="A299" s="41">
        <v>295</v>
      </c>
      <c r="B299" s="144">
        <f t="shared" si="48"/>
        <v>3.9436556000000001E-3</v>
      </c>
      <c r="E299" s="29">
        <f t="shared" si="49"/>
        <v>3.9713721000000004E-3</v>
      </c>
      <c r="H299" s="34">
        <f t="shared" si="50"/>
        <v>3.7933907E-3</v>
      </c>
      <c r="K299" s="34">
        <f t="shared" si="51"/>
        <v>3.8204373E-3</v>
      </c>
      <c r="N299" s="38">
        <f t="shared" si="52"/>
        <v>3.8247760999999998E-3</v>
      </c>
      <c r="Q299" s="38">
        <f t="shared" si="53"/>
        <v>3.8519641999999999E-3</v>
      </c>
    </row>
    <row r="300" spans="1:17" x14ac:dyDescent="0.15">
      <c r="A300" s="41">
        <v>296</v>
      </c>
      <c r="B300" s="144">
        <f t="shared" si="48"/>
        <v>3.9322888000000002E-3</v>
      </c>
      <c r="E300" s="29">
        <f t="shared" si="49"/>
        <v>3.9600138999999999E-3</v>
      </c>
      <c r="H300" s="34">
        <f t="shared" si="50"/>
        <v>3.781984E-3</v>
      </c>
      <c r="K300" s="34">
        <f t="shared" si="51"/>
        <v>3.8090369999999999E-3</v>
      </c>
      <c r="N300" s="38">
        <f t="shared" si="52"/>
        <v>3.8133768000000001E-3</v>
      </c>
      <c r="Q300" s="38">
        <f t="shared" si="53"/>
        <v>3.8405716999999999E-3</v>
      </c>
    </row>
    <row r="301" spans="1:17" x14ac:dyDescent="0.15">
      <c r="A301" s="41">
        <v>297</v>
      </c>
      <c r="B301" s="144">
        <f t="shared" si="48"/>
        <v>3.9209991999999997E-3</v>
      </c>
      <c r="E301" s="29">
        <f t="shared" si="49"/>
        <v>3.9487328999999998E-3</v>
      </c>
      <c r="H301" s="34">
        <f t="shared" si="50"/>
        <v>3.7706545000000002E-3</v>
      </c>
      <c r="K301" s="34">
        <f t="shared" si="51"/>
        <v>3.7977138000000001E-3</v>
      </c>
      <c r="N301" s="38">
        <f t="shared" si="52"/>
        <v>3.8020546999999998E-3</v>
      </c>
      <c r="Q301" s="38">
        <f t="shared" si="53"/>
        <v>3.8292564000000002E-3</v>
      </c>
    </row>
    <row r="302" spans="1:17" x14ac:dyDescent="0.15">
      <c r="A302" s="41">
        <v>298</v>
      </c>
      <c r="B302" s="144">
        <f t="shared" si="48"/>
        <v>3.9097860000000002E-3</v>
      </c>
      <c r="E302" s="29">
        <f t="shared" si="49"/>
        <v>3.9375282000000001E-3</v>
      </c>
      <c r="H302" s="34">
        <f t="shared" si="50"/>
        <v>3.7594014E-3</v>
      </c>
      <c r="K302" s="34">
        <f t="shared" si="51"/>
        <v>3.786467E-3</v>
      </c>
      <c r="N302" s="38">
        <f t="shared" si="52"/>
        <v>3.7908089E-3</v>
      </c>
      <c r="Q302" s="38">
        <f t="shared" si="53"/>
        <v>3.8180175000000001E-3</v>
      </c>
    </row>
    <row r="303" spans="1:17" x14ac:dyDescent="0.15">
      <c r="A303" s="41">
        <v>299</v>
      </c>
      <c r="B303" s="144">
        <f t="shared" si="48"/>
        <v>3.8986483999999999E-3</v>
      </c>
      <c r="E303" s="29">
        <f t="shared" si="49"/>
        <v>3.9263991999999998E-3</v>
      </c>
      <c r="H303" s="34">
        <f t="shared" si="50"/>
        <v>3.7482238E-3</v>
      </c>
      <c r="K303" s="34">
        <f t="shared" si="51"/>
        <v>3.7752958E-3</v>
      </c>
      <c r="N303" s="38">
        <f t="shared" si="52"/>
        <v>3.7796387999999999E-3</v>
      </c>
      <c r="Q303" s="38">
        <f t="shared" si="53"/>
        <v>3.8068542000000002E-3</v>
      </c>
    </row>
    <row r="304" spans="1:17" x14ac:dyDescent="0.15">
      <c r="A304" s="41">
        <v>300</v>
      </c>
      <c r="B304" s="144">
        <f t="shared" si="48"/>
        <v>3.8875857000000001E-3</v>
      </c>
      <c r="E304" s="29">
        <f t="shared" si="49"/>
        <v>3.9153449999999998E-3</v>
      </c>
      <c r="H304" s="34">
        <f t="shared" si="50"/>
        <v>3.7371211E-3</v>
      </c>
      <c r="K304" s="34">
        <f t="shared" si="51"/>
        <v>3.7641993999999999E-3</v>
      </c>
      <c r="N304" s="38">
        <f t="shared" si="52"/>
        <v>3.7685434999999998E-3</v>
      </c>
      <c r="Q304" s="38">
        <f t="shared" si="53"/>
        <v>3.7957656999999998E-3</v>
      </c>
    </row>
    <row r="305" spans="1:17" x14ac:dyDescent="0.15">
      <c r="A305" s="41">
        <v>301</v>
      </c>
      <c r="B305" s="144">
        <f t="shared" si="48"/>
        <v>3.8765969999999999E-3</v>
      </c>
      <c r="E305" s="29">
        <f t="shared" si="49"/>
        <v>3.9043649999999999E-3</v>
      </c>
      <c r="H305" s="34">
        <f t="shared" si="50"/>
        <v>3.7260926000000001E-3</v>
      </c>
      <c r="K305" s="34">
        <f t="shared" si="51"/>
        <v>3.7531772E-3</v>
      </c>
      <c r="N305" s="38">
        <f t="shared" si="52"/>
        <v>3.7575222999999998E-3</v>
      </c>
      <c r="Q305" s="38">
        <f t="shared" si="53"/>
        <v>3.7847512999999999E-3</v>
      </c>
    </row>
    <row r="306" spans="1:17" x14ac:dyDescent="0.15">
      <c r="A306" s="41">
        <v>302</v>
      </c>
      <c r="B306" s="144">
        <f t="shared" si="48"/>
        <v>3.8656818E-3</v>
      </c>
      <c r="E306" s="29">
        <f t="shared" si="49"/>
        <v>3.8934582999999999E-3</v>
      </c>
      <c r="H306" s="34">
        <f t="shared" si="50"/>
        <v>3.7151373E-3</v>
      </c>
      <c r="K306" s="34">
        <f t="shared" si="51"/>
        <v>3.7422282999999999E-3</v>
      </c>
      <c r="N306" s="38">
        <f t="shared" si="52"/>
        <v>3.7465745000000001E-3</v>
      </c>
      <c r="Q306" s="38">
        <f t="shared" si="53"/>
        <v>3.7738102999999999E-3</v>
      </c>
    </row>
    <row r="307" spans="1:17" x14ac:dyDescent="0.15">
      <c r="A307" s="41">
        <v>303</v>
      </c>
      <c r="B307" s="144">
        <f t="shared" si="48"/>
        <v>3.8548391000000001E-3</v>
      </c>
      <c r="E307" s="29">
        <f t="shared" si="49"/>
        <v>3.8826243E-3</v>
      </c>
      <c r="H307" s="34">
        <f t="shared" si="50"/>
        <v>3.7042546999999999E-3</v>
      </c>
      <c r="K307" s="34">
        <f t="shared" si="51"/>
        <v>3.7313520999999999E-3</v>
      </c>
      <c r="N307" s="38">
        <f t="shared" si="52"/>
        <v>3.7356993E-3</v>
      </c>
      <c r="Q307" s="38">
        <f t="shared" si="53"/>
        <v>3.762942E-3</v>
      </c>
    </row>
    <row r="308" spans="1:17" x14ac:dyDescent="0.15">
      <c r="A308" s="41">
        <v>304</v>
      </c>
      <c r="B308" s="144">
        <f t="shared" si="48"/>
        <v>3.8440685000000001E-3</v>
      </c>
      <c r="E308" s="29">
        <f t="shared" si="49"/>
        <v>3.8718621999999999E-3</v>
      </c>
      <c r="H308" s="34">
        <f t="shared" si="50"/>
        <v>3.6934441000000002E-3</v>
      </c>
      <c r="K308" s="34">
        <f t="shared" si="51"/>
        <v>3.7205478000000001E-3</v>
      </c>
      <c r="N308" s="38">
        <f t="shared" si="52"/>
        <v>3.7248960000000001E-3</v>
      </c>
      <c r="Q308" s="38">
        <f t="shared" si="53"/>
        <v>3.7521454999999999E-3</v>
      </c>
    </row>
    <row r="309" spans="1:17" x14ac:dyDescent="0.15">
      <c r="A309" s="41">
        <v>305</v>
      </c>
      <c r="B309" s="144">
        <f t="shared" si="48"/>
        <v>3.8333690000000001E-3</v>
      </c>
      <c r="E309" s="29">
        <f t="shared" si="49"/>
        <v>3.8611713000000001E-3</v>
      </c>
      <c r="H309" s="34">
        <f t="shared" si="50"/>
        <v>3.6827046E-3</v>
      </c>
      <c r="K309" s="34">
        <f t="shared" si="51"/>
        <v>3.7098146999999999E-3</v>
      </c>
      <c r="N309" s="38">
        <f t="shared" si="52"/>
        <v>3.7141639999999998E-3</v>
      </c>
      <c r="Q309" s="38">
        <f t="shared" si="53"/>
        <v>3.7414203000000002E-3</v>
      </c>
    </row>
    <row r="310" spans="1:17" x14ac:dyDescent="0.15">
      <c r="A310" s="41">
        <v>306</v>
      </c>
      <c r="B310" s="144">
        <f t="shared" si="48"/>
        <v>3.8227400999999999E-3</v>
      </c>
      <c r="E310" s="29">
        <f t="shared" si="49"/>
        <v>3.8505509000000002E-3</v>
      </c>
      <c r="H310" s="34">
        <f t="shared" si="50"/>
        <v>3.6720356999999999E-3</v>
      </c>
      <c r="K310" s="34">
        <f t="shared" si="51"/>
        <v>3.6991520999999999E-3</v>
      </c>
      <c r="N310" s="38">
        <f t="shared" si="52"/>
        <v>3.7035025000000002E-3</v>
      </c>
      <c r="Q310" s="38">
        <f t="shared" si="53"/>
        <v>3.7307655999999998E-3</v>
      </c>
    </row>
    <row r="311" spans="1:17" x14ac:dyDescent="0.15">
      <c r="A311" s="41">
        <v>307</v>
      </c>
      <c r="B311" s="144">
        <f t="shared" si="48"/>
        <v>3.812181E-3</v>
      </c>
      <c r="E311" s="29">
        <f>ROUND(G$2*(1+G$2)^$A311/((1+G$2)^$A311-1),10)</f>
        <v>3.8400003999999998E-3</v>
      </c>
      <c r="H311" s="34">
        <f t="shared" si="50"/>
        <v>3.6614365999999999E-3</v>
      </c>
      <c r="K311" s="34">
        <f t="shared" si="51"/>
        <v>3.6885593999999998E-3</v>
      </c>
      <c r="N311" s="38">
        <f t="shared" si="52"/>
        <v>3.6929108E-3</v>
      </c>
      <c r="Q311" s="38">
        <f t="shared" si="53"/>
        <v>3.7201807999999999E-3</v>
      </c>
    </row>
    <row r="312" spans="1:17" x14ac:dyDescent="0.15">
      <c r="A312" s="41">
        <v>308</v>
      </c>
      <c r="B312" s="144">
        <f t="shared" si="48"/>
        <v>3.8016909999999998E-3</v>
      </c>
      <c r="E312" s="29">
        <f t="shared" si="49"/>
        <v>3.8295191E-3</v>
      </c>
      <c r="H312" s="34">
        <f t="shared" si="50"/>
        <v>3.6509067E-3</v>
      </c>
      <c r="K312" s="34">
        <f t="shared" si="51"/>
        <v>3.6780357999999999E-3</v>
      </c>
      <c r="N312" s="38">
        <f t="shared" si="52"/>
        <v>3.6823883000000001E-3</v>
      </c>
      <c r="Q312" s="38">
        <f t="shared" si="53"/>
        <v>3.7096651E-3</v>
      </c>
    </row>
    <row r="313" spans="1:17" x14ac:dyDescent="0.15">
      <c r="A313" s="41">
        <v>309</v>
      </c>
      <c r="B313" s="144">
        <f t="shared" si="48"/>
        <v>3.7912696000000001E-3</v>
      </c>
      <c r="E313" s="29">
        <f t="shared" si="49"/>
        <v>3.8191062000000001E-3</v>
      </c>
      <c r="H313" s="34">
        <f t="shared" si="50"/>
        <v>3.6404452E-3</v>
      </c>
      <c r="K313" s="34">
        <f t="shared" si="51"/>
        <v>3.6675807E-3</v>
      </c>
      <c r="N313" s="38">
        <f t="shared" si="52"/>
        <v>3.6719342E-3</v>
      </c>
      <c r="Q313" s="38">
        <f t="shared" si="53"/>
        <v>3.6992178000000001E-3</v>
      </c>
    </row>
    <row r="314" spans="1:17" x14ac:dyDescent="0.15">
      <c r="A314" s="41">
        <v>310</v>
      </c>
      <c r="B314" s="144">
        <f t="shared" si="48"/>
        <v>3.7809159E-3</v>
      </c>
      <c r="E314" s="29">
        <f t="shared" si="49"/>
        <v>3.8087612E-3</v>
      </c>
      <c r="H314" s="34">
        <f t="shared" si="50"/>
        <v>3.6300515000000002E-3</v>
      </c>
      <c r="K314" s="34">
        <f t="shared" si="51"/>
        <v>3.6571934000000001E-3</v>
      </c>
      <c r="N314" s="38">
        <f t="shared" si="52"/>
        <v>3.6615480000000001E-3</v>
      </c>
      <c r="Q314" s="38">
        <f t="shared" si="53"/>
        <v>3.6888384E-3</v>
      </c>
    </row>
    <row r="315" spans="1:17" x14ac:dyDescent="0.15">
      <c r="A315" s="41">
        <v>311</v>
      </c>
      <c r="B315" s="144">
        <f t="shared" si="48"/>
        <v>3.7706294999999999E-3</v>
      </c>
      <c r="E315" s="29">
        <f t="shared" si="49"/>
        <v>3.7984833000000002E-3</v>
      </c>
      <c r="H315" s="34">
        <f t="shared" si="50"/>
        <v>3.6197249999999999E-3</v>
      </c>
      <c r="K315" s="34">
        <f t="shared" si="51"/>
        <v>3.6468732000000002E-3</v>
      </c>
      <c r="N315" s="38">
        <f t="shared" si="52"/>
        <v>3.6512289000000002E-3</v>
      </c>
      <c r="Q315" s="38">
        <f t="shared" si="53"/>
        <v>3.6785262000000002E-3</v>
      </c>
    </row>
    <row r="316" spans="1:17" x14ac:dyDescent="0.15">
      <c r="A316" s="41">
        <v>312</v>
      </c>
      <c r="B316" s="144">
        <f t="shared" si="48"/>
        <v>3.7604094999999999E-3</v>
      </c>
      <c r="E316" s="29">
        <f t="shared" si="49"/>
        <v>3.7882719E-3</v>
      </c>
      <c r="H316" s="34">
        <f t="shared" si="50"/>
        <v>3.6094651000000001E-3</v>
      </c>
      <c r="K316" s="34">
        <f t="shared" si="51"/>
        <v>3.6366196E-3</v>
      </c>
      <c r="N316" s="38">
        <f t="shared" si="52"/>
        <v>3.6409762999999999E-3</v>
      </c>
      <c r="Q316" s="38">
        <f t="shared" si="53"/>
        <v>3.6682805000000001E-3</v>
      </c>
    </row>
    <row r="317" spans="1:17" x14ac:dyDescent="0.15">
      <c r="A317" s="41">
        <v>313</v>
      </c>
      <c r="B317" s="144">
        <f t="shared" si="48"/>
        <v>3.7502553999999998E-3</v>
      </c>
      <c r="E317" s="29">
        <f t="shared" si="49"/>
        <v>3.7781264999999999E-3</v>
      </c>
      <c r="H317" s="34">
        <f t="shared" si="50"/>
        <v>3.5992709000000002E-3</v>
      </c>
      <c r="K317" s="34">
        <f t="shared" si="51"/>
        <v>3.6264319000000001E-3</v>
      </c>
      <c r="N317" s="38">
        <f t="shared" si="52"/>
        <v>3.6307895999999999E-3</v>
      </c>
      <c r="Q317" s="38">
        <f t="shared" si="53"/>
        <v>3.6581005999999998E-3</v>
      </c>
    </row>
    <row r="318" spans="1:17" x14ac:dyDescent="0.15">
      <c r="A318" s="41">
        <v>314</v>
      </c>
      <c r="B318" s="144">
        <f t="shared" si="48"/>
        <v>3.7401665999999998E-3</v>
      </c>
      <c r="E318" s="29">
        <f t="shared" si="49"/>
        <v>3.7680461999999998E-3</v>
      </c>
      <c r="H318" s="34">
        <f t="shared" si="50"/>
        <v>3.5891421000000001E-3</v>
      </c>
      <c r="K318" s="34">
        <f t="shared" si="51"/>
        <v>3.6163094E-3</v>
      </c>
      <c r="N318" s="38">
        <f t="shared" si="52"/>
        <v>3.6206682000000001E-3</v>
      </c>
      <c r="Q318" s="38">
        <f t="shared" si="53"/>
        <v>3.6479860000000002E-3</v>
      </c>
    </row>
    <row r="319" spans="1:17" x14ac:dyDescent="0.15">
      <c r="A319" s="41">
        <v>315</v>
      </c>
      <c r="B319" s="144">
        <f t="shared" si="48"/>
        <v>3.7301423999999998E-3</v>
      </c>
      <c r="E319" s="29">
        <f t="shared" si="49"/>
        <v>3.7580307000000001E-3</v>
      </c>
      <c r="H319" s="34">
        <f t="shared" si="50"/>
        <v>3.5790778999999998E-3</v>
      </c>
      <c r="K319" s="34">
        <f t="shared" si="51"/>
        <v>3.6062515000000002E-3</v>
      </c>
      <c r="N319" s="38">
        <f t="shared" si="52"/>
        <v>3.6106113999999998E-3</v>
      </c>
      <c r="Q319" s="38">
        <f t="shared" si="53"/>
        <v>3.6379361000000001E-3</v>
      </c>
    </row>
    <row r="320" spans="1:17" x14ac:dyDescent="0.15">
      <c r="A320" s="41">
        <v>316</v>
      </c>
      <c r="B320" s="144">
        <f t="shared" si="48"/>
        <v>3.7201822999999999E-3</v>
      </c>
      <c r="E320" s="29">
        <f t="shared" si="49"/>
        <v>3.7480791000000001E-3</v>
      </c>
      <c r="H320" s="34">
        <f t="shared" si="50"/>
        <v>3.5690776000000001E-3</v>
      </c>
      <c r="K320" s="34">
        <f t="shared" si="51"/>
        <v>3.5962577000000001E-3</v>
      </c>
      <c r="N320" s="38">
        <f t="shared" si="52"/>
        <v>3.6006186000000001E-3</v>
      </c>
      <c r="Q320" s="38">
        <f t="shared" si="53"/>
        <v>3.6279501E-3</v>
      </c>
    </row>
    <row r="321" spans="1:17" x14ac:dyDescent="0.15">
      <c r="A321" s="41">
        <v>317</v>
      </c>
      <c r="B321" s="144">
        <f t="shared" si="48"/>
        <v>3.7102855E-3</v>
      </c>
      <c r="E321" s="29">
        <f t="shared" si="49"/>
        <v>3.7381909E-3</v>
      </c>
      <c r="H321" s="34">
        <f t="shared" si="50"/>
        <v>3.5591408E-3</v>
      </c>
      <c r="K321" s="34">
        <f t="shared" si="51"/>
        <v>3.5863271999999999E-3</v>
      </c>
      <c r="N321" s="38">
        <f t="shared" si="52"/>
        <v>3.5906891999999998E-3</v>
      </c>
      <c r="Q321" s="38">
        <f t="shared" si="53"/>
        <v>3.6180276E-3</v>
      </c>
    </row>
    <row r="322" spans="1:17" x14ac:dyDescent="0.15">
      <c r="A322" s="41">
        <v>318</v>
      </c>
      <c r="B322" s="144">
        <f t="shared" si="48"/>
        <v>3.7004516000000002E-3</v>
      </c>
      <c r="E322" s="29">
        <f t="shared" si="49"/>
        <v>3.7283656000000002E-3</v>
      </c>
      <c r="H322" s="34">
        <f t="shared" si="50"/>
        <v>3.5492668E-3</v>
      </c>
      <c r="K322" s="34">
        <f t="shared" si="51"/>
        <v>3.5764595999999999E-3</v>
      </c>
      <c r="N322" s="38">
        <f t="shared" si="52"/>
        <v>3.5808226000000002E-3</v>
      </c>
      <c r="Q322" s="38">
        <f t="shared" si="53"/>
        <v>3.6081678000000001E-3</v>
      </c>
    </row>
    <row r="323" spans="1:17" x14ac:dyDescent="0.15">
      <c r="A323" s="41">
        <v>319</v>
      </c>
      <c r="B323" s="144">
        <f t="shared" si="48"/>
        <v>3.6906799E-3</v>
      </c>
      <c r="E323" s="29">
        <f t="shared" si="49"/>
        <v>3.7186024999999998E-3</v>
      </c>
      <c r="H323" s="34">
        <f t="shared" si="50"/>
        <v>3.5394549999999999E-3</v>
      </c>
      <c r="K323" s="34">
        <f t="shared" si="51"/>
        <v>3.5666541999999999E-3</v>
      </c>
      <c r="N323" s="38">
        <f t="shared" si="52"/>
        <v>3.5710183000000001E-3</v>
      </c>
      <c r="Q323" s="38">
        <f t="shared" si="53"/>
        <v>3.5983703000000001E-3</v>
      </c>
    </row>
    <row r="324" spans="1:17" x14ac:dyDescent="0.15">
      <c r="A324" s="41">
        <v>320</v>
      </c>
      <c r="B324" s="144">
        <f t="shared" si="48"/>
        <v>3.6809697999999999E-3</v>
      </c>
      <c r="E324" s="29">
        <f t="shared" si="49"/>
        <v>3.7089010000000001E-3</v>
      </c>
      <c r="H324" s="34">
        <f t="shared" si="50"/>
        <v>3.5297049000000001E-3</v>
      </c>
      <c r="K324" s="34">
        <f t="shared" si="51"/>
        <v>3.5569104000000001E-3</v>
      </c>
      <c r="N324" s="38">
        <f t="shared" si="52"/>
        <v>3.5612755000000002E-3</v>
      </c>
      <c r="Q324" s="38">
        <f t="shared" si="53"/>
        <v>3.5886344E-3</v>
      </c>
    </row>
    <row r="325" spans="1:17" x14ac:dyDescent="0.15">
      <c r="A325" s="41">
        <v>321</v>
      </c>
      <c r="B325" s="144">
        <f t="shared" si="48"/>
        <v>3.6713207999999999E-3</v>
      </c>
      <c r="E325" s="29">
        <f t="shared" si="49"/>
        <v>3.6992606E-3</v>
      </c>
      <c r="H325" s="34">
        <f t="shared" si="50"/>
        <v>3.5200157999999999E-3</v>
      </c>
      <c r="K325" s="34">
        <f t="shared" si="51"/>
        <v>3.5472276999999998E-3</v>
      </c>
      <c r="N325" s="38">
        <f t="shared" si="52"/>
        <v>3.5515938999999999E-3</v>
      </c>
      <c r="Q325" s="38">
        <f t="shared" si="53"/>
        <v>3.5789595999999998E-3</v>
      </c>
    </row>
    <row r="326" spans="1:17" x14ac:dyDescent="0.15">
      <c r="A326" s="41">
        <v>322</v>
      </c>
      <c r="B326" s="144">
        <f t="shared" ref="B326:B364" si="54">ROUND(D$2*(1+D$2)^$A326/((1+D$2)^$A326-1),10)</f>
        <v>3.6617323000000001E-3</v>
      </c>
      <c r="E326" s="29">
        <f t="shared" ref="E326:E364" si="55">ROUND(G$2*(1+G$2)^$A326/((1+G$2)^$A326-1),10)</f>
        <v>3.6896807000000001E-3</v>
      </c>
      <c r="H326" s="34">
        <f t="shared" si="50"/>
        <v>3.5103871999999999E-3</v>
      </c>
      <c r="K326" s="34">
        <f t="shared" si="51"/>
        <v>3.5376053999999998E-3</v>
      </c>
      <c r="N326" s="38">
        <f t="shared" si="52"/>
        <v>3.5419726999999998E-3</v>
      </c>
      <c r="Q326" s="38">
        <f t="shared" si="53"/>
        <v>3.5693452999999999E-3</v>
      </c>
    </row>
    <row r="327" spans="1:17" x14ac:dyDescent="0.15">
      <c r="A327" s="41">
        <v>323</v>
      </c>
      <c r="B327" s="144">
        <f t="shared" si="54"/>
        <v>3.6522036999999999E-3</v>
      </c>
      <c r="E327" s="29">
        <f t="shared" si="55"/>
        <v>3.6801607999999999E-3</v>
      </c>
      <c r="H327" s="34">
        <f t="shared" si="50"/>
        <v>3.5008184999999999E-3</v>
      </c>
      <c r="K327" s="34">
        <f t="shared" si="51"/>
        <v>3.5280430999999998E-3</v>
      </c>
      <c r="N327" s="38">
        <f t="shared" si="52"/>
        <v>3.5324114999999998E-3</v>
      </c>
      <c r="Q327" s="38">
        <f t="shared" si="53"/>
        <v>3.5597909E-3</v>
      </c>
    </row>
    <row r="328" spans="1:17" x14ac:dyDescent="0.15">
      <c r="A328" s="41">
        <v>324</v>
      </c>
      <c r="B328" s="144">
        <f t="shared" si="54"/>
        <v>3.6427346000000001E-3</v>
      </c>
      <c r="E328" s="29">
        <f t="shared" si="55"/>
        <v>3.6707001999999999E-3</v>
      </c>
      <c r="H328" s="34">
        <f t="shared" si="50"/>
        <v>3.4913091999999998E-3</v>
      </c>
      <c r="K328" s="34">
        <f t="shared" si="51"/>
        <v>3.5185402000000002E-3</v>
      </c>
      <c r="N328" s="38">
        <f t="shared" si="52"/>
        <v>3.5229096000000001E-3</v>
      </c>
      <c r="Q328" s="38">
        <f t="shared" si="53"/>
        <v>3.5502959000000001E-3</v>
      </c>
    </row>
    <row r="329" spans="1:17" x14ac:dyDescent="0.15">
      <c r="A329" s="41">
        <v>325</v>
      </c>
      <c r="B329" s="144">
        <f t="shared" si="54"/>
        <v>3.6333241999999999E-3</v>
      </c>
      <c r="E329" s="29">
        <f t="shared" si="55"/>
        <v>3.6612984E-3</v>
      </c>
      <c r="H329" s="34">
        <f t="shared" si="50"/>
        <v>3.4818586999999998E-3</v>
      </c>
      <c r="K329" s="34">
        <f t="shared" si="51"/>
        <v>3.5090961000000002E-3</v>
      </c>
      <c r="N329" s="38">
        <f t="shared" si="52"/>
        <v>3.5134666E-3</v>
      </c>
      <c r="Q329" s="38">
        <f t="shared" si="53"/>
        <v>3.5408597000000002E-3</v>
      </c>
    </row>
    <row r="330" spans="1:17" x14ac:dyDescent="0.15">
      <c r="A330" s="41">
        <v>326</v>
      </c>
      <c r="B330" s="144">
        <f t="shared" si="54"/>
        <v>3.6239721000000001E-3</v>
      </c>
      <c r="E330" s="29">
        <f t="shared" si="55"/>
        <v>3.6519549000000001E-3</v>
      </c>
      <c r="H330" s="34">
        <f t="shared" si="50"/>
        <v>3.4724665000000002E-3</v>
      </c>
      <c r="K330" s="34">
        <f t="shared" si="51"/>
        <v>3.4997103000000002E-3</v>
      </c>
      <c r="N330" s="38">
        <f t="shared" si="52"/>
        <v>3.5040817999999999E-3</v>
      </c>
      <c r="Q330" s="38">
        <f t="shared" si="53"/>
        <v>3.5314818000000002E-3</v>
      </c>
    </row>
    <row r="331" spans="1:17" x14ac:dyDescent="0.15">
      <c r="A331" s="41">
        <v>327</v>
      </c>
      <c r="B331" s="144">
        <f t="shared" si="54"/>
        <v>3.6146778E-3</v>
      </c>
      <c r="E331" s="29">
        <f t="shared" si="55"/>
        <v>3.6426691999999999E-3</v>
      </c>
      <c r="H331" s="34">
        <f t="shared" si="50"/>
        <v>3.4631320999999999E-3</v>
      </c>
      <c r="K331" s="34">
        <f t="shared" si="51"/>
        <v>3.4903821999999998E-3</v>
      </c>
      <c r="N331" s="38">
        <f t="shared" si="52"/>
        <v>3.4947547999999999E-3</v>
      </c>
      <c r="Q331" s="38">
        <f t="shared" si="53"/>
        <v>3.5221617E-3</v>
      </c>
    </row>
    <row r="332" spans="1:17" x14ac:dyDescent="0.15">
      <c r="A332" s="41">
        <v>328</v>
      </c>
      <c r="B332" s="144">
        <f t="shared" si="54"/>
        <v>3.6054406999999999E-3</v>
      </c>
      <c r="E332" s="29">
        <f t="shared" si="55"/>
        <v>3.6334407000000002E-3</v>
      </c>
      <c r="H332" s="34">
        <f t="shared" si="50"/>
        <v>3.4538548E-3</v>
      </c>
      <c r="K332" s="34">
        <f t="shared" si="51"/>
        <v>3.4811114E-3</v>
      </c>
      <c r="N332" s="38">
        <f t="shared" si="52"/>
        <v>3.485485E-3</v>
      </c>
      <c r="Q332" s="38">
        <f t="shared" si="53"/>
        <v>3.5128987000000002E-3</v>
      </c>
    </row>
    <row r="333" spans="1:17" x14ac:dyDescent="0.15">
      <c r="A333" s="41">
        <v>329</v>
      </c>
      <c r="B333" s="144">
        <f t="shared" si="54"/>
        <v>3.5962603000000001E-3</v>
      </c>
      <c r="E333" s="29">
        <f t="shared" si="55"/>
        <v>3.6242689999999998E-3</v>
      </c>
      <c r="H333" s="34">
        <f t="shared" si="50"/>
        <v>3.4446342999999999E-3</v>
      </c>
      <c r="K333" s="34">
        <f t="shared" si="51"/>
        <v>3.4718971999999999E-3</v>
      </c>
      <c r="N333" s="38">
        <f t="shared" si="52"/>
        <v>3.4762718999999998E-3</v>
      </c>
      <c r="Q333" s="38">
        <f t="shared" si="53"/>
        <v>3.5036924999999998E-3</v>
      </c>
    </row>
    <row r="334" spans="1:17" x14ac:dyDescent="0.15">
      <c r="A334" s="41">
        <v>330</v>
      </c>
      <c r="B334" s="144">
        <f t="shared" si="54"/>
        <v>3.5871360999999999E-3</v>
      </c>
      <c r="E334" s="29">
        <f t="shared" si="55"/>
        <v>3.6151534E-3</v>
      </c>
      <c r="H334" s="34">
        <f t="shared" si="50"/>
        <v>3.4354699999999999E-3</v>
      </c>
      <c r="K334" s="34">
        <f t="shared" si="51"/>
        <v>3.4627392999999999E-3</v>
      </c>
      <c r="N334" s="38">
        <f t="shared" si="52"/>
        <v>3.4671150000000002E-3</v>
      </c>
      <c r="Q334" s="38">
        <f t="shared" si="53"/>
        <v>3.4945425E-3</v>
      </c>
    </row>
    <row r="335" spans="1:17" x14ac:dyDescent="0.15">
      <c r="A335" s="41">
        <v>331</v>
      </c>
      <c r="B335" s="144">
        <f t="shared" si="54"/>
        <v>3.5780676000000001E-3</v>
      </c>
      <c r="E335" s="29">
        <f t="shared" si="55"/>
        <v>3.6060935000000001E-3</v>
      </c>
      <c r="H335" s="34">
        <f t="shared" si="50"/>
        <v>3.4263612999999998E-3</v>
      </c>
      <c r="K335" s="34">
        <f t="shared" si="51"/>
        <v>3.4536369999999999E-3</v>
      </c>
      <c r="N335" s="38">
        <f t="shared" si="52"/>
        <v>3.4580138000000001E-3</v>
      </c>
      <c r="Q335" s="38">
        <f t="shared" si="53"/>
        <v>3.4854481E-3</v>
      </c>
    </row>
    <row r="336" spans="1:17" x14ac:dyDescent="0.15">
      <c r="A336" s="41">
        <v>332</v>
      </c>
      <c r="B336" s="144">
        <f t="shared" si="54"/>
        <v>3.5690542E-3</v>
      </c>
      <c r="E336" s="29">
        <f t="shared" si="55"/>
        <v>3.5970886999999998E-3</v>
      </c>
      <c r="H336" s="34">
        <f t="shared" si="50"/>
        <v>3.4173077999999999E-3</v>
      </c>
      <c r="K336" s="34">
        <f t="shared" si="51"/>
        <v>3.4445898999999999E-3</v>
      </c>
      <c r="N336" s="38">
        <f t="shared" si="52"/>
        <v>3.4489677000000001E-3</v>
      </c>
      <c r="Q336" s="38">
        <f t="shared" si="53"/>
        <v>3.4764089000000001E-3</v>
      </c>
    </row>
    <row r="337" spans="1:17" x14ac:dyDescent="0.15">
      <c r="A337" s="41">
        <v>333</v>
      </c>
      <c r="B337" s="144">
        <f t="shared" si="54"/>
        <v>3.5600955999999999E-3</v>
      </c>
      <c r="E337" s="29">
        <f t="shared" si="55"/>
        <v>3.5881387000000001E-3</v>
      </c>
      <c r="H337" s="34">
        <f t="shared" si="50"/>
        <v>3.408309E-3</v>
      </c>
      <c r="K337" s="34">
        <f t="shared" si="51"/>
        <v>3.4355974E-3</v>
      </c>
      <c r="N337" s="38">
        <f t="shared" si="52"/>
        <v>3.4399764000000001E-3</v>
      </c>
      <c r="Q337" s="38">
        <f t="shared" si="53"/>
        <v>3.4674243999999999E-3</v>
      </c>
    </row>
    <row r="338" spans="1:17" x14ac:dyDescent="0.15">
      <c r="A338" s="41">
        <v>334</v>
      </c>
      <c r="B338" s="144">
        <f t="shared" si="54"/>
        <v>3.5511911E-3</v>
      </c>
      <c r="E338" s="29">
        <f t="shared" si="55"/>
        <v>3.5792428000000001E-3</v>
      </c>
      <c r="H338" s="34">
        <f t="shared" si="50"/>
        <v>3.3993642999999999E-3</v>
      </c>
      <c r="K338" s="34">
        <f t="shared" si="51"/>
        <v>3.4266591999999999E-3</v>
      </c>
      <c r="N338" s="38">
        <f t="shared" si="52"/>
        <v>3.4310391999999999E-3</v>
      </c>
      <c r="Q338" s="38">
        <f t="shared" si="53"/>
        <v>3.4584940999999999E-3</v>
      </c>
    </row>
    <row r="339" spans="1:17" x14ac:dyDescent="0.15">
      <c r="A339" s="41">
        <v>335</v>
      </c>
      <c r="B339" s="144">
        <f t="shared" si="54"/>
        <v>3.5423402999999998E-3</v>
      </c>
      <c r="E339" s="29">
        <f t="shared" si="55"/>
        <v>3.5704005999999998E-3</v>
      </c>
      <c r="H339" s="34">
        <f t="shared" si="50"/>
        <v>3.3904733999999999E-3</v>
      </c>
      <c r="K339" s="34">
        <f t="shared" si="51"/>
        <v>3.4177745999999999E-3</v>
      </c>
      <c r="N339" s="38">
        <f t="shared" si="52"/>
        <v>3.4221556999999999E-3</v>
      </c>
      <c r="Q339" s="38">
        <f t="shared" si="53"/>
        <v>3.4496174E-3</v>
      </c>
    </row>
    <row r="340" spans="1:17" x14ac:dyDescent="0.15">
      <c r="A340" s="41">
        <v>336</v>
      </c>
      <c r="B340" s="144">
        <f t="shared" si="54"/>
        <v>3.5335428E-3</v>
      </c>
      <c r="E340" s="29">
        <f t="shared" si="55"/>
        <v>3.5616116999999999E-3</v>
      </c>
      <c r="H340" s="34">
        <f t="shared" si="50"/>
        <v>3.3816355999999998E-3</v>
      </c>
      <c r="K340" s="34">
        <f t="shared" si="51"/>
        <v>3.4089432999999999E-3</v>
      </c>
      <c r="N340" s="38">
        <f t="shared" si="52"/>
        <v>3.4133254000000002E-3</v>
      </c>
      <c r="Q340" s="38">
        <f t="shared" si="53"/>
        <v>3.4407940000000001E-3</v>
      </c>
    </row>
    <row r="341" spans="1:17" x14ac:dyDescent="0.15">
      <c r="A341" s="41">
        <v>337</v>
      </c>
      <c r="B341" s="144">
        <f t="shared" si="54"/>
        <v>3.524798E-3</v>
      </c>
      <c r="E341" s="29">
        <f t="shared" si="55"/>
        <v>3.5528755000000002E-3</v>
      </c>
      <c r="H341" s="34">
        <f t="shared" ref="H341:H364" si="56">ROUND(J$2*(1+J$2)^$A341/((1+J$2)^$A341-1),10)</f>
        <v>3.3728505999999999E-3</v>
      </c>
      <c r="K341" s="34">
        <f t="shared" ref="K341:K364" si="57">ROUND(M$2*(1+M$2)^$A341/((1+M$2)^$A341-1),10)</f>
        <v>3.4001647E-3</v>
      </c>
      <c r="N341" s="38">
        <f t="shared" ref="N341:N364" si="58">ROUND(P$2*(1+P$2)^$A341/((1+P$2)^$A341-1),10)</f>
        <v>3.4045478999999998E-3</v>
      </c>
      <c r="Q341" s="38">
        <f t="shared" ref="Q341:Q364" si="59">ROUND(S$2*(1+S$2)^$A341/((1+S$2)^$A341-1),10)</f>
        <v>3.4320232999999999E-3</v>
      </c>
    </row>
    <row r="342" spans="1:17" x14ac:dyDescent="0.15">
      <c r="A342" s="41">
        <v>338</v>
      </c>
      <c r="B342" s="144">
        <f t="shared" si="54"/>
        <v>3.5161054E-3</v>
      </c>
      <c r="E342" s="29">
        <f t="shared" si="55"/>
        <v>3.5441916000000001E-3</v>
      </c>
      <c r="H342" s="34">
        <f t="shared" si="56"/>
        <v>3.3641179000000001E-3</v>
      </c>
      <c r="K342" s="34">
        <f t="shared" si="57"/>
        <v>3.3914383999999998E-3</v>
      </c>
      <c r="N342" s="38">
        <f t="shared" si="58"/>
        <v>3.3958225999999999E-3</v>
      </c>
      <c r="Q342" s="38">
        <f t="shared" si="59"/>
        <v>3.4233050000000002E-3</v>
      </c>
    </row>
    <row r="343" spans="1:17" x14ac:dyDescent="0.15">
      <c r="A343" s="41">
        <v>339</v>
      </c>
      <c r="B343" s="144">
        <f t="shared" si="54"/>
        <v>3.5074646999999999E-3</v>
      </c>
      <c r="E343" s="29">
        <f t="shared" si="55"/>
        <v>3.5355594999999999E-3</v>
      </c>
      <c r="H343" s="34">
        <f t="shared" si="56"/>
        <v>3.3554370000000002E-3</v>
      </c>
      <c r="K343" s="34">
        <f t="shared" si="57"/>
        <v>3.3827638999999999E-3</v>
      </c>
      <c r="N343" s="38">
        <f t="shared" si="58"/>
        <v>3.3871492E-3</v>
      </c>
      <c r="Q343" s="38">
        <f t="shared" si="59"/>
        <v>3.4146383999999999E-3</v>
      </c>
    </row>
    <row r="344" spans="1:17" x14ac:dyDescent="0.15">
      <c r="A344" s="41">
        <v>340</v>
      </c>
      <c r="B344" s="144">
        <f t="shared" si="54"/>
        <v>3.4988754E-3</v>
      </c>
      <c r="E344" s="29">
        <f t="shared" si="55"/>
        <v>3.5269787999999999E-3</v>
      </c>
      <c r="H344" s="34">
        <f t="shared" si="56"/>
        <v>3.3468075E-3</v>
      </c>
      <c r="K344" s="34">
        <f t="shared" si="57"/>
        <v>3.3741408000000001E-3</v>
      </c>
      <c r="N344" s="38">
        <f t="shared" si="58"/>
        <v>3.3785271000000001E-3</v>
      </c>
      <c r="Q344" s="38">
        <f t="shared" si="59"/>
        <v>3.4060231999999998E-3</v>
      </c>
    </row>
    <row r="345" spans="1:17" x14ac:dyDescent="0.15">
      <c r="A345" s="41">
        <v>341</v>
      </c>
      <c r="B345" s="144">
        <f t="shared" si="54"/>
        <v>3.4903369E-3</v>
      </c>
      <c r="E345" s="29">
        <f t="shared" si="55"/>
        <v>3.5184489999999999E-3</v>
      </c>
      <c r="H345" s="34">
        <f t="shared" si="56"/>
        <v>3.3382288999999998E-3</v>
      </c>
      <c r="K345" s="34">
        <f t="shared" si="57"/>
        <v>3.3655684999999999E-3</v>
      </c>
      <c r="N345" s="38">
        <f t="shared" si="58"/>
        <v>3.3699558999999999E-3</v>
      </c>
      <c r="Q345" s="38">
        <f t="shared" si="59"/>
        <v>3.3974589000000002E-3</v>
      </c>
    </row>
    <row r="346" spans="1:17" x14ac:dyDescent="0.15">
      <c r="A346" s="41">
        <v>342</v>
      </c>
      <c r="B346" s="144">
        <f t="shared" si="54"/>
        <v>3.481849E-3</v>
      </c>
      <c r="E346" s="29">
        <f t="shared" si="55"/>
        <v>3.5099696000000001E-3</v>
      </c>
      <c r="H346" s="34">
        <f t="shared" si="56"/>
        <v>3.3297006999999999E-3</v>
      </c>
      <c r="K346" s="34">
        <f t="shared" si="57"/>
        <v>3.3570467000000001E-3</v>
      </c>
      <c r="N346" s="38">
        <f t="shared" si="58"/>
        <v>3.3614351999999999E-3</v>
      </c>
      <c r="Q346" s="38">
        <f t="shared" si="59"/>
        <v>3.388945E-3</v>
      </c>
    </row>
    <row r="347" spans="1:17" x14ac:dyDescent="0.15">
      <c r="A347" s="41">
        <v>343</v>
      </c>
      <c r="B347" s="144">
        <f t="shared" si="54"/>
        <v>3.473411E-3</v>
      </c>
      <c r="E347" s="29">
        <f t="shared" si="55"/>
        <v>3.5015403000000001E-3</v>
      </c>
      <c r="H347" s="34">
        <f t="shared" si="56"/>
        <v>3.3212225000000001E-3</v>
      </c>
      <c r="K347" s="34">
        <f t="shared" si="57"/>
        <v>3.3485749999999999E-3</v>
      </c>
      <c r="N347" s="38">
        <f t="shared" si="58"/>
        <v>3.3529645000000001E-3</v>
      </c>
      <c r="Q347" s="38">
        <f t="shared" si="59"/>
        <v>3.3804811999999999E-3</v>
      </c>
    </row>
    <row r="348" spans="1:17" x14ac:dyDescent="0.15">
      <c r="A348" s="41">
        <v>344</v>
      </c>
      <c r="B348" s="144">
        <f t="shared" si="54"/>
        <v>3.4650227000000001E-3</v>
      </c>
      <c r="E348" s="29">
        <f t="shared" si="55"/>
        <v>3.4931605000000001E-3</v>
      </c>
      <c r="H348" s="34">
        <f t="shared" si="56"/>
        <v>3.312794E-3</v>
      </c>
      <c r="K348" s="34">
        <f t="shared" si="57"/>
        <v>3.3401528000000002E-3</v>
      </c>
      <c r="N348" s="38">
        <f t="shared" si="58"/>
        <v>3.3445433999999999E-3</v>
      </c>
      <c r="Q348" s="38">
        <f t="shared" si="59"/>
        <v>3.3720669999999999E-3</v>
      </c>
    </row>
    <row r="349" spans="1:17" x14ac:dyDescent="0.15">
      <c r="A349" s="41">
        <v>345</v>
      </c>
      <c r="B349" s="144">
        <f t="shared" si="54"/>
        <v>3.4566834E-3</v>
      </c>
      <c r="E349" s="29">
        <f t="shared" si="55"/>
        <v>3.4848298999999999E-3</v>
      </c>
      <c r="H349" s="34">
        <f t="shared" si="56"/>
        <v>3.3044145E-3</v>
      </c>
      <c r="K349" s="34">
        <f t="shared" si="57"/>
        <v>3.3317797999999998E-3</v>
      </c>
      <c r="N349" s="38">
        <f t="shared" si="58"/>
        <v>3.3361713999999999E-3</v>
      </c>
      <c r="Q349" s="38">
        <f t="shared" si="59"/>
        <v>3.3637019000000001E-3</v>
      </c>
    </row>
    <row r="350" spans="1:17" x14ac:dyDescent="0.15">
      <c r="A350" s="41">
        <v>346</v>
      </c>
      <c r="B350" s="144">
        <f t="shared" si="54"/>
        <v>3.4483930000000001E-3</v>
      </c>
      <c r="E350" s="29">
        <f t="shared" si="55"/>
        <v>3.4765480999999999E-3</v>
      </c>
      <c r="H350" s="34">
        <f t="shared" si="56"/>
        <v>3.2960837999999998E-3</v>
      </c>
      <c r="K350" s="34">
        <f t="shared" si="57"/>
        <v>3.3234555000000001E-3</v>
      </c>
      <c r="N350" s="38">
        <f t="shared" si="58"/>
        <v>3.3278482000000001E-3</v>
      </c>
      <c r="Q350" s="38">
        <f t="shared" si="59"/>
        <v>3.3553855E-3</v>
      </c>
    </row>
    <row r="351" spans="1:17" x14ac:dyDescent="0.15">
      <c r="A351" s="41">
        <v>347</v>
      </c>
      <c r="B351" s="144">
        <f t="shared" si="54"/>
        <v>3.4401508000000002E-3</v>
      </c>
      <c r="E351" s="29">
        <f t="shared" si="55"/>
        <v>3.4683144999999999E-3</v>
      </c>
      <c r="H351" s="34">
        <f t="shared" si="56"/>
        <v>3.2878014000000001E-3</v>
      </c>
      <c r="K351" s="34">
        <f t="shared" si="57"/>
        <v>3.3151794999999999E-3</v>
      </c>
      <c r="N351" s="38">
        <f t="shared" si="58"/>
        <v>3.3195732999999998E-3</v>
      </c>
      <c r="Q351" s="38">
        <f t="shared" si="59"/>
        <v>3.3471173999999999E-3</v>
      </c>
    </row>
    <row r="352" spans="1:17" x14ac:dyDescent="0.15">
      <c r="A352" s="41">
        <v>348</v>
      </c>
      <c r="B352" s="144">
        <f t="shared" si="54"/>
        <v>3.4319565000000001E-3</v>
      </c>
      <c r="E352" s="29">
        <f t="shared" si="55"/>
        <v>3.4601288000000001E-3</v>
      </c>
      <c r="H352" s="34">
        <f t="shared" si="56"/>
        <v>3.2795669000000001E-3</v>
      </c>
      <c r="K352" s="34">
        <f t="shared" si="57"/>
        <v>3.3069514E-3</v>
      </c>
      <c r="N352" s="38">
        <f t="shared" si="58"/>
        <v>3.3113461999999998E-3</v>
      </c>
      <c r="Q352" s="38">
        <f t="shared" si="59"/>
        <v>3.3388973000000001E-3</v>
      </c>
    </row>
    <row r="353" spans="1:17" x14ac:dyDescent="0.15">
      <c r="A353" s="41">
        <v>349</v>
      </c>
      <c r="B353" s="144">
        <f t="shared" si="54"/>
        <v>3.4238097000000001E-3</v>
      </c>
      <c r="E353" s="29">
        <f t="shared" si="55"/>
        <v>3.4519907000000001E-3</v>
      </c>
      <c r="H353" s="34">
        <f t="shared" si="56"/>
        <v>3.2713798999999999E-3</v>
      </c>
      <c r="K353" s="34">
        <f t="shared" si="57"/>
        <v>3.2987707000000002E-3</v>
      </c>
      <c r="N353" s="38">
        <f t="shared" si="58"/>
        <v>3.3031665999999999E-3</v>
      </c>
      <c r="Q353" s="38">
        <f t="shared" si="59"/>
        <v>3.3307246E-3</v>
      </c>
    </row>
    <row r="354" spans="1:17" x14ac:dyDescent="0.15">
      <c r="A354" s="41">
        <v>350</v>
      </c>
      <c r="B354" s="144">
        <f t="shared" si="54"/>
        <v>3.4157099000000002E-3</v>
      </c>
      <c r="E354" s="29">
        <f t="shared" si="55"/>
        <v>3.4438995E-3</v>
      </c>
      <c r="H354" s="34">
        <f t="shared" si="56"/>
        <v>3.2632399000000001E-3</v>
      </c>
      <c r="K354" s="34">
        <f t="shared" si="57"/>
        <v>3.2906370999999999E-3</v>
      </c>
      <c r="N354" s="38">
        <f t="shared" si="58"/>
        <v>3.2950341000000001E-3</v>
      </c>
      <c r="Q354" s="38">
        <f t="shared" si="59"/>
        <v>3.3225988999999998E-3</v>
      </c>
    </row>
    <row r="355" spans="1:17" x14ac:dyDescent="0.15">
      <c r="A355" s="41">
        <v>351</v>
      </c>
      <c r="B355" s="144">
        <f t="shared" si="54"/>
        <v>3.4076569000000001E-3</v>
      </c>
      <c r="E355" s="29">
        <f t="shared" si="55"/>
        <v>3.4358550999999998E-3</v>
      </c>
      <c r="H355" s="34">
        <f t="shared" si="56"/>
        <v>3.2551466000000002E-3</v>
      </c>
      <c r="K355" s="34">
        <f t="shared" si="57"/>
        <v>3.2825502E-3</v>
      </c>
      <c r="N355" s="38">
        <f t="shared" si="58"/>
        <v>3.2869483000000001E-3</v>
      </c>
      <c r="Q355" s="38">
        <f t="shared" si="59"/>
        <v>3.3145200000000001E-3</v>
      </c>
    </row>
    <row r="356" spans="1:17" x14ac:dyDescent="0.15">
      <c r="A356" s="41">
        <v>352</v>
      </c>
      <c r="B356" s="144">
        <f t="shared" si="54"/>
        <v>3.3996501000000002E-3</v>
      </c>
      <c r="E356" s="29">
        <f t="shared" si="55"/>
        <v>3.4278568999999998E-3</v>
      </c>
      <c r="H356" s="34">
        <f t="shared" si="56"/>
        <v>3.2470995E-3</v>
      </c>
      <c r="K356" s="34">
        <f t="shared" si="57"/>
        <v>3.2745095999999999E-3</v>
      </c>
      <c r="N356" s="38">
        <f t="shared" si="58"/>
        <v>3.2789086999999999E-3</v>
      </c>
      <c r="Q356" s="38">
        <f t="shared" si="59"/>
        <v>3.3064873E-3</v>
      </c>
    </row>
    <row r="357" spans="1:17" x14ac:dyDescent="0.15">
      <c r="A357" s="41">
        <v>353</v>
      </c>
      <c r="B357" s="144">
        <f t="shared" si="54"/>
        <v>3.3916890999999998E-3</v>
      </c>
      <c r="E357" s="29">
        <f t="shared" si="55"/>
        <v>3.4199045999999999E-3</v>
      </c>
      <c r="H357" s="34">
        <f t="shared" si="56"/>
        <v>3.2390982999999998E-3</v>
      </c>
      <c r="K357" s="34">
        <f t="shared" si="57"/>
        <v>3.2665148000000001E-3</v>
      </c>
      <c r="N357" s="38">
        <f t="shared" si="58"/>
        <v>3.2709150000000001E-3</v>
      </c>
      <c r="Q357" s="38">
        <f t="shared" si="59"/>
        <v>3.2985003999999999E-3</v>
      </c>
    </row>
    <row r="358" spans="1:17" x14ac:dyDescent="0.15">
      <c r="A358" s="41">
        <v>354</v>
      </c>
      <c r="B358" s="144">
        <f t="shared" si="54"/>
        <v>3.3837736999999999E-3</v>
      </c>
      <c r="E358" s="29">
        <f t="shared" si="55"/>
        <v>3.4119977999999998E-3</v>
      </c>
      <c r="H358" s="34">
        <f t="shared" si="56"/>
        <v>3.2311427E-3</v>
      </c>
      <c r="K358" s="34">
        <f t="shared" si="57"/>
        <v>3.2585655999999999E-3</v>
      </c>
      <c r="N358" s="38">
        <f t="shared" si="58"/>
        <v>3.2629667999999998E-3</v>
      </c>
      <c r="Q358" s="38">
        <f t="shared" si="59"/>
        <v>3.2905590999999998E-3</v>
      </c>
    </row>
    <row r="359" spans="1:17" x14ac:dyDescent="0.15">
      <c r="A359" s="41">
        <v>355</v>
      </c>
      <c r="B359" s="144">
        <f t="shared" si="54"/>
        <v>3.3759034000000001E-3</v>
      </c>
      <c r="E359" s="29">
        <f t="shared" si="55"/>
        <v>3.4041360999999999E-3</v>
      </c>
      <c r="H359" s="34">
        <f t="shared" si="56"/>
        <v>3.2232321E-3</v>
      </c>
      <c r="K359" s="34">
        <f t="shared" si="57"/>
        <v>3.2506613999999999E-3</v>
      </c>
      <c r="N359" s="38">
        <f t="shared" si="58"/>
        <v>3.2550637000000001E-3</v>
      </c>
      <c r="Q359" s="38">
        <f t="shared" si="59"/>
        <v>3.2826628999999999E-3</v>
      </c>
    </row>
    <row r="360" spans="1:17" x14ac:dyDescent="0.15">
      <c r="A360" s="41">
        <v>356</v>
      </c>
      <c r="B360" s="144">
        <f t="shared" si="54"/>
        <v>3.3680778E-3</v>
      </c>
      <c r="E360" s="29">
        <f t="shared" si="55"/>
        <v>3.3963191000000001E-3</v>
      </c>
      <c r="H360" s="34">
        <f t="shared" si="56"/>
        <v>3.2153662E-3</v>
      </c>
      <c r="K360" s="34">
        <f t="shared" si="57"/>
        <v>3.2428018999999999E-3</v>
      </c>
      <c r="N360" s="38">
        <f t="shared" si="58"/>
        <v>3.2472053000000001E-3</v>
      </c>
      <c r="Q360" s="38">
        <f t="shared" si="59"/>
        <v>3.2748114E-3</v>
      </c>
    </row>
    <row r="361" spans="1:17" x14ac:dyDescent="0.15">
      <c r="A361" s="41">
        <v>357</v>
      </c>
      <c r="B361" s="144">
        <f t="shared" si="54"/>
        <v>3.3602965000000002E-3</v>
      </c>
      <c r="E361" s="29">
        <f t="shared" si="55"/>
        <v>3.3885464999999998E-3</v>
      </c>
      <c r="H361" s="34">
        <f t="shared" si="56"/>
        <v>3.2075446999999999E-3</v>
      </c>
      <c r="K361" s="34">
        <f t="shared" si="57"/>
        <v>3.2349867999999999E-3</v>
      </c>
      <c r="N361" s="38">
        <f t="shared" si="58"/>
        <v>3.2393912E-3</v>
      </c>
      <c r="Q361" s="38">
        <f t="shared" si="59"/>
        <v>3.2670042000000001E-3</v>
      </c>
    </row>
    <row r="362" spans="1:17" x14ac:dyDescent="0.15">
      <c r="A362" s="41">
        <v>358</v>
      </c>
      <c r="B362" s="144">
        <f t="shared" si="54"/>
        <v>3.3525591999999998E-3</v>
      </c>
      <c r="E362" s="29">
        <f t="shared" si="55"/>
        <v>3.3808178000000002E-3</v>
      </c>
      <c r="H362" s="34">
        <f t="shared" si="56"/>
        <v>3.1997671000000001E-3</v>
      </c>
      <c r="K362" s="34">
        <f t="shared" si="57"/>
        <v>3.2272157000000001E-3</v>
      </c>
      <c r="N362" s="38">
        <f t="shared" si="58"/>
        <v>3.2316212000000001E-3</v>
      </c>
      <c r="Q362" s="38">
        <f t="shared" si="59"/>
        <v>3.259241E-3</v>
      </c>
    </row>
    <row r="363" spans="1:17" x14ac:dyDescent="0.15">
      <c r="A363" s="41">
        <v>359</v>
      </c>
      <c r="B363" s="144">
        <f t="shared" si="54"/>
        <v>3.3448656E-3</v>
      </c>
      <c r="E363" s="29">
        <f t="shared" si="55"/>
        <v>3.3731327999999999E-3</v>
      </c>
      <c r="H363" s="34">
        <f t="shared" si="56"/>
        <v>3.1920332E-3</v>
      </c>
      <c r="K363" s="34">
        <f t="shared" si="57"/>
        <v>3.2194882E-3</v>
      </c>
      <c r="N363" s="38">
        <f t="shared" si="58"/>
        <v>3.2238947E-3</v>
      </c>
      <c r="Q363" s="38">
        <f t="shared" si="59"/>
        <v>3.2515214E-3</v>
      </c>
    </row>
    <row r="364" spans="1:17" x14ac:dyDescent="0.15">
      <c r="A364" s="41">
        <v>360</v>
      </c>
      <c r="B364" s="144">
        <f t="shared" si="54"/>
        <v>3.3372151000000002E-3</v>
      </c>
      <c r="E364" s="29">
        <f t="shared" si="55"/>
        <v>3.365491E-3</v>
      </c>
      <c r="H364" s="34">
        <f t="shared" si="56"/>
        <v>3.1843424999999999E-3</v>
      </c>
      <c r="K364" s="34">
        <f t="shared" si="57"/>
        <v>3.2118038999999999E-3</v>
      </c>
      <c r="N364" s="38">
        <f t="shared" si="58"/>
        <v>3.2162114999999998E-3</v>
      </c>
      <c r="Q364" s="38">
        <f t="shared" si="59"/>
        <v>3.2438451E-3</v>
      </c>
    </row>
  </sheetData>
  <sheetProtection password="B7E8" sheet="1" selectLockedCells="1"/>
  <mergeCells count="4">
    <mergeCell ref="N1:S1"/>
    <mergeCell ref="A1:A2"/>
    <mergeCell ref="B1:G1"/>
    <mergeCell ref="H1:M1"/>
  </mergeCells>
  <phoneticPr fontId="2"/>
  <pageMargins left="0.78700000000000003" right="0.78700000000000003" top="0.98399999999999999" bottom="0.98399999999999999" header="0.51200000000000001" footer="0.51200000000000001"/>
  <pageSetup paperSize="9" orientation="portrait" verticalDpi="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入力フォーム</vt:lpstr>
      <vt:lpstr>一部繰上償還申出書（共済用）</vt:lpstr>
      <vt:lpstr>計算用</vt:lpstr>
      <vt:lpstr>賦金率表</vt:lpstr>
      <vt:lpstr>'一部繰上償還申出書（共済用）'!Print_Area</vt:lpstr>
      <vt:lpstr>計算用!Print_Area</vt:lpstr>
      <vt:lpstr>入力フォーム!Print_Area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ほうえい</dc:creator>
  <cp:lastModifiedBy>福利課009</cp:lastModifiedBy>
  <cp:lastPrinted>2024-04-15T04:27:07Z</cp:lastPrinted>
  <dcterms:created xsi:type="dcterms:W3CDTF">2007-09-26T07:27:54Z</dcterms:created>
  <dcterms:modified xsi:type="dcterms:W3CDTF">2026-10-09T06:45:00Z</dcterms:modified>
</cp:coreProperties>
</file>